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filterPrivacy="1" codeName="ThisWorkbook" checkCompatibility="1" autoCompressPictures="0"/>
  <bookViews>
    <workbookView xWindow="0" yWindow="0" windowWidth="25600" windowHeight="15520" tabRatio="0"/>
  </bookViews>
  <sheets>
    <sheet name="AF Test" sheetId="30" r:id="rId1"/>
  </sheets>
  <definedNames>
    <definedName name="_xlnm.Print_Area" localSheetId="0">'AF Test'!$A$1:$AD$66</definedName>
    <definedName name="Zins" localSheetId="0">'AF Test'!$D$15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30" l="1"/>
  <c r="F9" i="30"/>
  <c r="F10" i="30"/>
  <c r="F12" i="30"/>
  <c r="F13" i="30"/>
  <c r="F14" i="30"/>
  <c r="P8" i="30"/>
  <c r="F23" i="30"/>
  <c r="Q8" i="30"/>
  <c r="F24" i="30"/>
  <c r="N8" i="30"/>
  <c r="S8" i="30"/>
  <c r="F15" i="30"/>
  <c r="X8" i="30"/>
  <c r="Y8" i="30"/>
  <c r="F25" i="30"/>
  <c r="V8" i="30"/>
  <c r="AA8" i="30"/>
  <c r="F19" i="30"/>
  <c r="F26" i="30"/>
  <c r="F32" i="30"/>
  <c r="C43" i="30"/>
  <c r="K10" i="30"/>
  <c r="K13" i="30"/>
  <c r="K12" i="30"/>
  <c r="F18" i="30"/>
  <c r="K18" i="30"/>
  <c r="K19" i="30"/>
  <c r="F33" i="30"/>
  <c r="C51" i="30"/>
  <c r="F20" i="30"/>
  <c r="F21" i="30"/>
  <c r="F31" i="30"/>
  <c r="F16" i="30"/>
  <c r="G16" i="30"/>
  <c r="G15" i="30"/>
  <c r="G14" i="30"/>
  <c r="G13" i="30"/>
  <c r="G12" i="30"/>
  <c r="H33" i="30"/>
  <c r="H31" i="30"/>
  <c r="H32" i="30"/>
  <c r="C35" i="30"/>
  <c r="D65" i="30"/>
  <c r="L10" i="30"/>
  <c r="K27" i="30"/>
  <c r="J26" i="30"/>
  <c r="J24" i="30"/>
  <c r="K15" i="30"/>
  <c r="F27" i="30"/>
  <c r="K20" i="30"/>
  <c r="K21" i="30"/>
  <c r="K23" i="30"/>
  <c r="V14" i="30"/>
  <c r="W14" i="30"/>
  <c r="V46" i="30"/>
  <c r="Z46" i="30"/>
  <c r="V33" i="30"/>
  <c r="W33" i="30"/>
  <c r="V48" i="30"/>
  <c r="AA48" i="30"/>
  <c r="V34" i="30"/>
  <c r="W34" i="30"/>
  <c r="V49" i="30"/>
  <c r="Z49" i="30"/>
  <c r="V28" i="30"/>
  <c r="V27" i="30"/>
  <c r="V26" i="30"/>
  <c r="V25" i="30"/>
  <c r="V24" i="30"/>
  <c r="V23" i="30"/>
  <c r="V22" i="30"/>
  <c r="V21" i="30"/>
  <c r="V20" i="30"/>
  <c r="V19" i="30"/>
  <c r="V17" i="30"/>
  <c r="V16" i="30"/>
  <c r="V15" i="30"/>
  <c r="V13" i="30"/>
  <c r="V12" i="30"/>
  <c r="V11" i="30"/>
  <c r="X10" i="30"/>
  <c r="Y11" i="30"/>
  <c r="Z11" i="30"/>
  <c r="X11" i="30"/>
  <c r="Y12" i="30"/>
  <c r="Z12" i="30"/>
  <c r="X12" i="30"/>
  <c r="Y13" i="30"/>
  <c r="Z13" i="30"/>
  <c r="X13" i="30"/>
  <c r="Y14" i="30"/>
  <c r="Z14" i="30"/>
  <c r="X14" i="30"/>
  <c r="Y15" i="30"/>
  <c r="Z15" i="30"/>
  <c r="X15" i="30"/>
  <c r="Y16" i="30"/>
  <c r="Z16" i="30"/>
  <c r="X16" i="30"/>
  <c r="Y17" i="30"/>
  <c r="Z17" i="30"/>
  <c r="X17" i="30"/>
  <c r="Y19" i="30"/>
  <c r="Z19" i="30"/>
  <c r="X19" i="30"/>
  <c r="Y20" i="30"/>
  <c r="Z20" i="30"/>
  <c r="X20" i="30"/>
  <c r="Y21" i="30"/>
  <c r="Z21" i="30"/>
  <c r="X21" i="30"/>
  <c r="Y22" i="30"/>
  <c r="Z22" i="30"/>
  <c r="X22" i="30"/>
  <c r="Y23" i="30"/>
  <c r="Z23" i="30"/>
  <c r="X23" i="30"/>
  <c r="Y24" i="30"/>
  <c r="Z24" i="30"/>
  <c r="X24" i="30"/>
  <c r="Y25" i="30"/>
  <c r="Z25" i="30"/>
  <c r="X25" i="30"/>
  <c r="Y26" i="30"/>
  <c r="Z26" i="30"/>
  <c r="X26" i="30"/>
  <c r="Y27" i="30"/>
  <c r="Z27" i="30"/>
  <c r="X27" i="30"/>
  <c r="Y28" i="30"/>
  <c r="Z28" i="30"/>
  <c r="W16" i="30"/>
  <c r="V45" i="30"/>
  <c r="W45" i="30"/>
  <c r="V41" i="30"/>
  <c r="AA41" i="30"/>
  <c r="V36" i="30"/>
  <c r="Y36" i="30"/>
  <c r="W24" i="30"/>
  <c r="W12" i="30"/>
  <c r="V47" i="30"/>
  <c r="X47" i="30"/>
  <c r="V30" i="30"/>
  <c r="AA30" i="30"/>
  <c r="V31" i="30"/>
  <c r="V29" i="30"/>
  <c r="X28" i="30"/>
  <c r="Y29" i="30"/>
  <c r="Z29" i="30"/>
  <c r="X29" i="30"/>
  <c r="Y30" i="30"/>
  <c r="Z30" i="30"/>
  <c r="X30" i="30"/>
  <c r="Y31" i="30"/>
  <c r="W21" i="30"/>
  <c r="W23" i="30"/>
  <c r="V40" i="30"/>
  <c r="W40" i="30"/>
  <c r="W17" i="30"/>
  <c r="W22" i="30"/>
  <c r="X36" i="30"/>
  <c r="V50" i="30"/>
  <c r="W26" i="30"/>
  <c r="W19" i="30"/>
  <c r="V39" i="30"/>
  <c r="V32" i="30"/>
  <c r="W15" i="30"/>
  <c r="W25" i="30"/>
  <c r="V10" i="30"/>
  <c r="W10" i="30"/>
  <c r="W11" i="30"/>
  <c r="V51" i="30"/>
  <c r="V38" i="30"/>
  <c r="W13" i="30"/>
  <c r="V43" i="30"/>
  <c r="V42" i="30"/>
  <c r="V37" i="30"/>
  <c r="V35" i="30"/>
  <c r="V44" i="30"/>
  <c r="W20" i="30"/>
  <c r="N38" i="30"/>
  <c r="O38" i="30"/>
  <c r="N21" i="30"/>
  <c r="O21" i="30"/>
  <c r="N31" i="30"/>
  <c r="O31" i="30"/>
  <c r="N42" i="30"/>
  <c r="O42" i="30"/>
  <c r="N33" i="30"/>
  <c r="O33" i="30"/>
  <c r="N43" i="30"/>
  <c r="O43" i="30"/>
  <c r="N47" i="30"/>
  <c r="O47" i="30"/>
  <c r="N36" i="30"/>
  <c r="O36" i="30"/>
  <c r="N28" i="30"/>
  <c r="O28" i="30"/>
  <c r="N32" i="30"/>
  <c r="O32" i="30"/>
  <c r="N41" i="30"/>
  <c r="O41" i="30"/>
  <c r="N26" i="30"/>
  <c r="O26" i="30"/>
  <c r="N39" i="30"/>
  <c r="O39" i="30"/>
  <c r="N45" i="30"/>
  <c r="O45" i="30"/>
  <c r="N30" i="30"/>
  <c r="O30" i="30"/>
  <c r="N13" i="30"/>
  <c r="O13" i="30"/>
  <c r="N51" i="30"/>
  <c r="O51" i="30"/>
  <c r="N50" i="30"/>
  <c r="O50" i="30"/>
  <c r="N44" i="30"/>
  <c r="O44" i="30"/>
  <c r="N25" i="30"/>
  <c r="O25" i="30"/>
  <c r="N16" i="30"/>
  <c r="O16" i="30"/>
  <c r="N27" i="30"/>
  <c r="O27" i="30"/>
  <c r="N19" i="30"/>
  <c r="O19" i="30"/>
  <c r="N12" i="30"/>
  <c r="O12" i="30"/>
  <c r="N24" i="30"/>
  <c r="O24" i="30"/>
  <c r="N20" i="30"/>
  <c r="O20" i="30"/>
  <c r="N34" i="30"/>
  <c r="O34" i="30"/>
  <c r="N17" i="30"/>
  <c r="O17" i="30"/>
  <c r="N40" i="30"/>
  <c r="O40" i="30"/>
  <c r="N49" i="30"/>
  <c r="O49" i="30"/>
  <c r="N15" i="30"/>
  <c r="O15" i="30"/>
  <c r="N37" i="30"/>
  <c r="O37" i="30"/>
  <c r="N10" i="30"/>
  <c r="O10" i="30"/>
  <c r="N22" i="30"/>
  <c r="O22" i="30"/>
  <c r="N35" i="30"/>
  <c r="O35" i="30"/>
  <c r="N48" i="30"/>
  <c r="O48" i="30"/>
  <c r="N46" i="30"/>
  <c r="O46" i="30"/>
  <c r="N29" i="30"/>
  <c r="O29" i="30"/>
  <c r="N11" i="30"/>
  <c r="O11" i="30"/>
  <c r="N23" i="30"/>
  <c r="O23" i="30"/>
  <c r="N14" i="30"/>
  <c r="O14" i="30"/>
  <c r="W47" i="30"/>
  <c r="Z47" i="30"/>
  <c r="X41" i="30"/>
  <c r="X33" i="30"/>
  <c r="Z33" i="30"/>
  <c r="Y41" i="30"/>
  <c r="Z41" i="30"/>
  <c r="W41" i="30"/>
  <c r="AA31" i="30"/>
  <c r="AA27" i="30"/>
  <c r="X34" i="30"/>
  <c r="Z34" i="30"/>
  <c r="X46" i="30"/>
  <c r="W49" i="30"/>
  <c r="Y40" i="30"/>
  <c r="X40" i="30"/>
  <c r="Z40" i="30"/>
  <c r="W30" i="30"/>
  <c r="AA36" i="30"/>
  <c r="W36" i="30"/>
  <c r="Y48" i="30"/>
  <c r="Z48" i="30"/>
  <c r="X48" i="30"/>
  <c r="Z36" i="30"/>
  <c r="Y47" i="30"/>
  <c r="AA47" i="30"/>
  <c r="W28" i="30"/>
  <c r="AA28" i="30"/>
  <c r="Y33" i="30"/>
  <c r="AA33" i="30"/>
  <c r="AA45" i="30"/>
  <c r="Z45" i="30"/>
  <c r="Y45" i="30"/>
  <c r="X45" i="30"/>
  <c r="AA49" i="30"/>
  <c r="X49" i="30"/>
  <c r="Y46" i="30"/>
  <c r="AA46" i="30"/>
  <c r="W46" i="30"/>
  <c r="Y49" i="30"/>
  <c r="AA40" i="30"/>
  <c r="W48" i="30"/>
  <c r="W31" i="30"/>
  <c r="Z31" i="30"/>
  <c r="X31" i="30"/>
  <c r="W27" i="30"/>
  <c r="Y34" i="30"/>
  <c r="AA34" i="30"/>
  <c r="X43" i="30"/>
  <c r="Y43" i="30"/>
  <c r="Z43" i="30"/>
  <c r="AA43" i="30"/>
  <c r="W43" i="30"/>
  <c r="X37" i="30"/>
  <c r="Z37" i="30"/>
  <c r="W37" i="30"/>
  <c r="Y37" i="30"/>
  <c r="AA37" i="30"/>
  <c r="Z32" i="30"/>
  <c r="Y32" i="30"/>
  <c r="AA32" i="30"/>
  <c r="W32" i="30"/>
  <c r="X32" i="30"/>
  <c r="X50" i="30"/>
  <c r="Y50" i="30"/>
  <c r="W50" i="30"/>
  <c r="Z50" i="30"/>
  <c r="AA50" i="30"/>
  <c r="AA44" i="30"/>
  <c r="Z44" i="30"/>
  <c r="W44" i="30"/>
  <c r="Y44" i="30"/>
  <c r="X44" i="30"/>
  <c r="X38" i="30"/>
  <c r="Z38" i="30"/>
  <c r="AA38" i="30"/>
  <c r="W38" i="30"/>
  <c r="Y38" i="30"/>
  <c r="Y35" i="30"/>
  <c r="AA35" i="30"/>
  <c r="W35" i="30"/>
  <c r="X35" i="30"/>
  <c r="Z35" i="30"/>
  <c r="AA51" i="30"/>
  <c r="X51" i="30"/>
  <c r="W51" i="30"/>
  <c r="Y51" i="30"/>
  <c r="Z51" i="30"/>
  <c r="X42" i="30"/>
  <c r="Y42" i="30"/>
  <c r="W42" i="30"/>
  <c r="AA42" i="30"/>
  <c r="Z42" i="30"/>
  <c r="AA39" i="30"/>
  <c r="Z39" i="30"/>
  <c r="X39" i="30"/>
  <c r="Y39" i="30"/>
  <c r="W39" i="30"/>
  <c r="W29" i="30"/>
  <c r="AA29" i="30"/>
  <c r="C36" i="30"/>
  <c r="P10" i="30"/>
  <c r="S40" i="30"/>
  <c r="Q11" i="30"/>
  <c r="C52" i="30"/>
  <c r="AA16" i="30"/>
  <c r="AA19" i="30"/>
  <c r="AA15" i="30"/>
  <c r="AA21" i="30"/>
  <c r="AA11" i="30"/>
  <c r="AA12" i="30"/>
  <c r="AA22" i="30"/>
  <c r="AA24" i="30"/>
  <c r="AA14" i="30"/>
  <c r="AA26" i="30"/>
  <c r="AA20" i="30"/>
  <c r="AA13" i="30"/>
  <c r="AA25" i="30"/>
  <c r="AA17" i="30"/>
  <c r="AA23" i="30"/>
  <c r="S26" i="30"/>
  <c r="S32" i="30"/>
  <c r="S42" i="30"/>
  <c r="S17" i="30"/>
  <c r="S41" i="30"/>
  <c r="S39" i="30"/>
  <c r="S47" i="30"/>
  <c r="S51" i="30"/>
  <c r="S31" i="30"/>
  <c r="S36" i="30"/>
  <c r="R11" i="30"/>
  <c r="P11" i="30"/>
  <c r="S24" i="30"/>
  <c r="S13" i="30"/>
  <c r="S22" i="30"/>
  <c r="S49" i="30"/>
  <c r="S29" i="30"/>
  <c r="S28" i="30"/>
  <c r="S23" i="30"/>
  <c r="C44" i="30"/>
  <c r="S50" i="30"/>
  <c r="S35" i="30"/>
  <c r="S38" i="30"/>
  <c r="S44" i="30"/>
  <c r="S45" i="30"/>
  <c r="S48" i="30"/>
  <c r="S43" i="30"/>
  <c r="S25" i="30"/>
  <c r="S19" i="30"/>
  <c r="S14" i="30"/>
  <c r="S11" i="30"/>
  <c r="S21" i="30"/>
  <c r="S16" i="30"/>
  <c r="S20" i="30"/>
  <c r="S12" i="30"/>
  <c r="S15" i="30"/>
  <c r="S30" i="30"/>
  <c r="S34" i="30"/>
  <c r="S37" i="30"/>
  <c r="S33" i="30"/>
  <c r="S27" i="30"/>
  <c r="S46" i="30"/>
  <c r="AA52" i="30"/>
  <c r="S52" i="30"/>
  <c r="Q12" i="30"/>
  <c r="R12" i="30"/>
  <c r="P12" i="30"/>
  <c r="Q13" i="30"/>
  <c r="R13" i="30"/>
  <c r="P13" i="30"/>
  <c r="Q14" i="30"/>
  <c r="R14" i="30"/>
  <c r="P14" i="30"/>
  <c r="Q15" i="30"/>
  <c r="R15" i="30"/>
  <c r="P15" i="30"/>
  <c r="Q16" i="30"/>
  <c r="R16" i="30"/>
  <c r="P16" i="30"/>
  <c r="Q17" i="30"/>
  <c r="R17" i="30"/>
  <c r="P17" i="30"/>
  <c r="Q19" i="30"/>
  <c r="R19" i="30"/>
  <c r="P19" i="30"/>
  <c r="Q20" i="30"/>
  <c r="R20" i="30"/>
  <c r="P20" i="30"/>
  <c r="Q21" i="30"/>
  <c r="R21" i="30"/>
  <c r="P21" i="30"/>
  <c r="Q22" i="30"/>
  <c r="R22" i="30"/>
  <c r="P22" i="30"/>
  <c r="Q23" i="30"/>
  <c r="R23" i="30"/>
  <c r="P23" i="30"/>
  <c r="Q24" i="30"/>
  <c r="R24" i="30"/>
  <c r="P24" i="30"/>
  <c r="Q25" i="30"/>
  <c r="R25" i="30"/>
  <c r="P25" i="30"/>
  <c r="Q26" i="30"/>
  <c r="R26" i="30"/>
  <c r="P26" i="30"/>
  <c r="Q27" i="30"/>
  <c r="R27" i="30"/>
  <c r="P27" i="30"/>
  <c r="Y52" i="30"/>
  <c r="Q28" i="30"/>
  <c r="R28" i="30"/>
  <c r="P28" i="30"/>
  <c r="Z52" i="30"/>
  <c r="Q29" i="30"/>
  <c r="R29" i="30"/>
  <c r="P29" i="30"/>
  <c r="Q30" i="30"/>
  <c r="R30" i="30"/>
  <c r="P30" i="30"/>
  <c r="Q31" i="30"/>
  <c r="R31" i="30"/>
  <c r="P31" i="30"/>
  <c r="Q32" i="30"/>
  <c r="R32" i="30"/>
  <c r="P32" i="30"/>
  <c r="Q33" i="30"/>
  <c r="R33" i="30"/>
  <c r="P33" i="30"/>
  <c r="Q34" i="30"/>
  <c r="R34" i="30"/>
  <c r="P34" i="30"/>
  <c r="Q35" i="30"/>
  <c r="R35" i="30"/>
  <c r="P35" i="30"/>
  <c r="Q36" i="30"/>
  <c r="R36" i="30"/>
  <c r="P36" i="30"/>
  <c r="Q37" i="30"/>
  <c r="R37" i="30"/>
  <c r="P37" i="30"/>
  <c r="Q38" i="30"/>
  <c r="R38" i="30"/>
  <c r="P38" i="30"/>
  <c r="Q39" i="30"/>
  <c r="R39" i="30"/>
  <c r="P39" i="30"/>
  <c r="Q40" i="30"/>
  <c r="R40" i="30"/>
  <c r="P40" i="30"/>
  <c r="Q41" i="30"/>
  <c r="R41" i="30"/>
  <c r="P41" i="30"/>
  <c r="Q42" i="30"/>
  <c r="R42" i="30"/>
  <c r="P42" i="30"/>
  <c r="Q43" i="30"/>
  <c r="R43" i="30"/>
  <c r="P43" i="30"/>
  <c r="Q44" i="30"/>
  <c r="R44" i="30"/>
  <c r="P44" i="30"/>
  <c r="Q45" i="30"/>
  <c r="R45" i="30"/>
  <c r="P45" i="30"/>
  <c r="Q46" i="30"/>
  <c r="R46" i="30"/>
  <c r="P46" i="30"/>
  <c r="Q47" i="30"/>
  <c r="R47" i="30"/>
  <c r="P47" i="30"/>
  <c r="Q48" i="30"/>
  <c r="R48" i="30"/>
  <c r="P48" i="30"/>
  <c r="Q49" i="30"/>
  <c r="R49" i="30"/>
  <c r="P49" i="30"/>
  <c r="Q50" i="30"/>
  <c r="R50" i="30"/>
  <c r="P50" i="30"/>
  <c r="Q51" i="30"/>
  <c r="R51" i="30"/>
  <c r="Q52" i="30"/>
  <c r="R52" i="30"/>
  <c r="P51" i="30"/>
</calcChain>
</file>

<file path=xl/sharedStrings.xml><?xml version="1.0" encoding="utf-8"?>
<sst xmlns="http://schemas.openxmlformats.org/spreadsheetml/2006/main" count="79" uniqueCount="67">
  <si>
    <t>Sparen</t>
  </si>
  <si>
    <t>Finanzieren</t>
  </si>
  <si>
    <t>Kaufen</t>
  </si>
  <si>
    <t>Wert/Kaufpreis des Grundstückes</t>
  </si>
  <si>
    <t>AF-Tests</t>
  </si>
  <si>
    <t>Jahre</t>
  </si>
  <si>
    <t>#1</t>
  </si>
  <si>
    <t>Unterhalten</t>
  </si>
  <si>
    <t>%</t>
  </si>
  <si>
    <t>Jahre + 1</t>
  </si>
  <si>
    <t>Restschuld</t>
  </si>
  <si>
    <t>Zins</t>
  </si>
  <si>
    <t>Tilgung</t>
  </si>
  <si>
    <t>Annuität</t>
  </si>
  <si>
    <t>Hilfslinie</t>
  </si>
  <si>
    <t>Total</t>
  </si>
  <si>
    <t>Annuitätenkurve Hypothek 1. Rang</t>
  </si>
  <si>
    <t>#2</t>
  </si>
  <si>
    <t xml:space="preserve">Etappe 1: Der Anti-Fragilitäts-Test </t>
  </si>
  <si>
    <t>Wert bei Deflation</t>
  </si>
  <si>
    <t>Schulden bei Def</t>
  </si>
  <si>
    <t xml:space="preserve">Eigenmittel bei </t>
  </si>
  <si>
    <t>Anteil Eigenmittel</t>
  </si>
  <si>
    <t>Anteil Eigenmittel ohne Nachschuss</t>
  </si>
  <si>
    <t>Eigenmittel mit Vermögen</t>
  </si>
  <si>
    <t xml:space="preserve">Anteil Eigenmittel </t>
  </si>
  <si>
    <t xml:space="preserve">Sparen </t>
  </si>
  <si>
    <t>Eigenmittel mit Sparen&amp;Vermögen</t>
  </si>
  <si>
    <t>#3</t>
  </si>
  <si>
    <t>Annuitätenkurve Hypothek 2. Rang</t>
  </si>
  <si>
    <t>Wert/Kaufpreis der Immobilie (Haus/Wohnung)</t>
  </si>
  <si>
    <t>Dein ungebundenes Vermögen (inkl. Säule 3a)</t>
  </si>
  <si>
    <t>Notizen</t>
  </si>
  <si>
    <t>Gib hier Deine eigenen Notizen ein.</t>
  </si>
  <si>
    <t>Deine Eigenmittel (mind. 20% des Liegenschaftswerts)</t>
  </si>
  <si>
    <t>...davon Hypothek im 2. Rang</t>
  </si>
  <si>
    <t>...davon Hypothek im 1. Rang (max. 2/3 des Liegenschaftswerts)</t>
  </si>
  <si>
    <t>Dein Liegenschaftswert</t>
  </si>
  <si>
    <t>Deine Finanzierung</t>
  </si>
  <si>
    <t>Deine jährlichen Ersparnisse (gerundet)</t>
  </si>
  <si>
    <t>Amortisation Hypothek im 1. Rang (Goldene Regel: 85 Jahre minus Dein Alter)</t>
  </si>
  <si>
    <t>Amortisation Hypothek im 2. Rang (Goldene Regel: 15 Jahre)</t>
  </si>
  <si>
    <t>Unterhalt und Nebenkosten (Empfehlung 1%)</t>
  </si>
  <si>
    <t>Deine jährlichen Ausgaben für Dein Eigenheim (gerundet)</t>
  </si>
  <si>
    <t>Ziel: &lt; 30 Jahre bis Netto-Fremdkapital erspart ist</t>
  </si>
  <si>
    <t>© HypoPilot 2015 - Alle Rechte vorbehalten. Mehr Infos unter: www.hypopilot.ch</t>
  </si>
  <si>
    <t>Dein sicheres Haushaltseinkommen</t>
  </si>
  <si>
    <t>Deine Zinskosten in % (aktuelles Umfeld bei 3%, Banken kalkulieren mit 5%)</t>
  </si>
  <si>
    <t xml:space="preserve"> D e i n e    S i t u a t i o n </t>
  </si>
  <si>
    <t xml:space="preserve"> D e i n e    T e s t e r g e b n i s s e</t>
  </si>
  <si>
    <t xml:space="preserve"> D e i n e    N o t i z e n</t>
  </si>
  <si>
    <t>Benötigtes Fremdkapital (Hypothek)</t>
  </si>
  <si>
    <t>Deine Sparquote (Schweizer Durchschnitt liegt bei 13%)</t>
  </si>
  <si>
    <t>AF-Test #1: Entspricht das Netto-Fremdkapital Deinen jährlichen Ersparnissen?</t>
  </si>
  <si>
    <t>AF-Test #2: Kannst Du Dir die Ausgaben für Dein Eigenheim leisten?</t>
  </si>
  <si>
    <t>AF-Test #3: Bist Du für den Fall einer Nachschusspflicht gewappnet?</t>
  </si>
  <si>
    <t>Dein Eigenheim gehört schon in den nächsten 20 Jahren ganz Dir.  Du erfüllst den AF-Test #1 mit Bravur!</t>
  </si>
  <si>
    <t>Ziel: &gt; 30% Eigenkapital nach Negativszenario</t>
  </si>
  <si>
    <t>Du gibst weniger als 20% Deines sicheren Haushaltseinkommens für Deine Wohnungssituation aus und bestehst den AF-Test #2 mit Bravur!</t>
  </si>
  <si>
    <t>Du besitzt weniger als 30% Eigenkapital (nach einem Negativszenario wie Deflation oder Immobilienpreiszerfall), um einer Nachschusspflicht nachzukommen. Das ist zu riskant und Du fällst folglich durch den AF-Test #3. Wir empfehlen Dir, mehr Vermögen aufzubauen oder die Hypothekar-Schulden zu verringern, damit Du einer allfälligen Nachschusspflicht nachkommen kannst! (Bspw. Erhöhung des Vermögens oder der Sparquote, Verkleinerung der Hypothek, etc.)</t>
  </si>
  <si>
    <t>Ziel: &lt; 30% des sicheren Haushaltseinkommens</t>
  </si>
  <si>
    <t>Dein Eigenheim gehört in den nächsten 30 Jahren ganz Dir.  Du erfüllst zwar den AF-Test #1, sei Dir aber den Risiken bewusst, die Du eingehst! (Bspw. Erreichen der Sparquote, Stabilität beim sicheren Haushaltseinkommen, etc.)</t>
  </si>
  <si>
    <t>Du gibst weniger als 30% Deines sicheren Haushaltseinkommens für Deine Wohnungssituation aus und bestehst den AF-Test #2. Achte aber weiterhin auf die bestehenden Risiken! (Bspw. Verringerung des Haushaltseinkommens, Erhöhung beim Unterhalt und bei den Nebenkosten, Anstieg der Zinskosten, etc.)</t>
  </si>
  <si>
    <t xml:space="preserve">Du besitzt über 50% Eigenkapital (nach einem Negativszenario wie Deflation oder Immobilienpreiszerfall), um einer Nachschusspflicht nachzukommen. Das reicht mit Bravur zum Bestehen des AF-Tests #3! </t>
  </si>
  <si>
    <t>Du besitzt über 30% Eigenkapital (nach einem Negativszenario wie Deflation oder Immobilienpreiszerfall), um einer Nachschusspflicht nachzukommen. Das reicht zwar zum Bestehen des AF-Tests #3, dennoch ergeben sich gewisse Risiken. Behalte Deine Situation deshalb stets im Auge! (Bspw. Stabilität beim ungebundenen Vermögen, Erhalt des Liegenschaftswerts, etc.)</t>
  </si>
  <si>
    <r>
      <t xml:space="preserve">Dein Eigenheim gehört in den nächsten 30 Jahren </t>
    </r>
    <r>
      <rPr>
        <u val="singleAccounting"/>
        <sz val="10"/>
        <rFont val="Georgia"/>
        <family val="1"/>
      </rPr>
      <t>nie</t>
    </r>
    <r>
      <rPr>
        <sz val="10"/>
        <rFont val="Georgia"/>
        <family val="1"/>
      </rPr>
      <t xml:space="preserve"> ganz Dir. Du erfüllst den AF-Test #1 </t>
    </r>
    <r>
      <rPr>
        <u val="singleAccounting"/>
        <sz val="10"/>
        <rFont val="Georgia"/>
        <family val="1"/>
      </rPr>
      <t>nicht, weil Du Dich mit Deiner Situation im Risiko befindest.</t>
    </r>
    <r>
      <rPr>
        <sz val="10"/>
        <rFont val="Georgia"/>
        <family val="1"/>
      </rPr>
      <t xml:space="preserve"> Wir empfehlen Dir, Deine Situation anzupassen! (Bspw. Erhöhung der Sparquote, Erhöhung des Einkommens, Verringerung der Hypothek, etc.)</t>
    </r>
  </si>
  <si>
    <r>
      <t xml:space="preserve">Du gibst </t>
    </r>
    <r>
      <rPr>
        <u val="singleAccounting"/>
        <sz val="10"/>
        <rFont val="Georgia"/>
        <family val="1"/>
      </rPr>
      <t>über</t>
    </r>
    <r>
      <rPr>
        <sz val="10"/>
        <rFont val="Georgia"/>
        <family val="1"/>
      </rPr>
      <t xml:space="preserve"> 30% Deines sicheren Haushaltseinkommens für Deine Wohnungssituation aus und fällst beim AF-Test #2 aufgrund zu hoher Risiken durch! Wir empfehlen Dir, Deine jetzige Wohnsituation anzupassen! (Bspw. Erhöhung des Haushaltseinkommens, Verringerung der Hypothek, Veränderung beim Eigenheim,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</si>
</sst>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28" x14ac:knownFonts="1">
    <font>
      <sz val="8"/>
      <name val="Courier New"/>
      <family val="3"/>
    </font>
    <font>
      <sz val="10"/>
      <name val="Arial"/>
    </font>
    <font>
      <sz val="8"/>
      <name val="Courier New"/>
      <family val="3"/>
    </font>
    <font>
      <sz val="10"/>
      <name val="Georgia"/>
      <family val="1"/>
    </font>
    <font>
      <b/>
      <sz val="10"/>
      <name val="Georgia"/>
      <family val="1"/>
    </font>
    <font>
      <sz val="8"/>
      <name val="Georgia"/>
      <family val="1"/>
    </font>
    <font>
      <sz val="12"/>
      <name val="Georgia"/>
      <family val="1"/>
    </font>
    <font>
      <b/>
      <i/>
      <sz val="10"/>
      <name val="Georgia"/>
      <family val="1"/>
    </font>
    <font>
      <u val="singleAccounting"/>
      <sz val="10"/>
      <name val="Georgia"/>
      <family val="1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24"/>
      <color theme="6"/>
      <name val="Georgia"/>
      <family val="1"/>
    </font>
    <font>
      <b/>
      <sz val="10"/>
      <color theme="0"/>
      <name val="Georgia"/>
      <family val="1"/>
    </font>
    <font>
      <sz val="10"/>
      <color theme="1"/>
      <name val="Georgia"/>
      <family val="1"/>
    </font>
    <font>
      <sz val="10"/>
      <color theme="0"/>
      <name val="Georgia"/>
      <family val="1"/>
    </font>
    <font>
      <sz val="10"/>
      <color theme="1" tint="0.499984740745262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sz val="10"/>
      <color theme="4"/>
      <name val="Georgia"/>
      <family val="1"/>
    </font>
    <font>
      <i/>
      <sz val="10"/>
      <color theme="1" tint="0.499984740745262"/>
      <name val="Georgia"/>
      <family val="1"/>
    </font>
    <font>
      <sz val="28"/>
      <color theme="6"/>
      <name val="Georgia"/>
      <family val="1"/>
    </font>
    <font>
      <sz val="8"/>
      <color theme="0"/>
      <name val="Georgia"/>
    </font>
    <font>
      <sz val="11"/>
      <color theme="0"/>
      <name val="Georgia"/>
    </font>
    <font>
      <u/>
      <sz val="8"/>
      <color theme="10"/>
      <name val="Courier New"/>
      <family val="3"/>
    </font>
    <font>
      <u/>
      <sz val="8"/>
      <color theme="11"/>
      <name val="Courier New"/>
      <family val="3"/>
    </font>
    <font>
      <sz val="10"/>
      <color rgb="FFCC9900"/>
      <name val="Georgia"/>
      <family val="1"/>
    </font>
    <font>
      <sz val="8"/>
      <color theme="4"/>
      <name val="Georgia"/>
      <family val="1"/>
    </font>
    <font>
      <sz val="8"/>
      <color theme="0"/>
      <name val="Georgia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vertical="center"/>
    </xf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4" borderId="0" xfId="0" applyFont="1" applyFill="1" applyAlignment="1" applyProtection="1">
      <alignment vertical="center"/>
      <protection locked="0"/>
    </xf>
    <xf numFmtId="164" fontId="13" fillId="4" borderId="0" xfId="3" applyNumberFormat="1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164" fontId="16" fillId="8" borderId="0" xfId="3" applyNumberFormat="1" applyFont="1" applyFill="1" applyAlignment="1" applyProtection="1">
      <alignment vertical="center"/>
    </xf>
    <xf numFmtId="0" fontId="16" fillId="8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165" fontId="17" fillId="4" borderId="0" xfId="4" applyNumberFormat="1" applyFont="1" applyFill="1" applyAlignment="1" applyProtection="1">
      <alignment vertical="center"/>
    </xf>
    <xf numFmtId="164" fontId="18" fillId="4" borderId="0" xfId="3" applyNumberFormat="1" applyFont="1" applyFill="1" applyAlignment="1" applyProtection="1">
      <alignment vertical="center"/>
    </xf>
    <xf numFmtId="165" fontId="19" fillId="4" borderId="0" xfId="4" applyNumberFormat="1" applyFont="1" applyFill="1" applyAlignment="1" applyProtection="1">
      <alignment vertical="center"/>
    </xf>
    <xf numFmtId="165" fontId="7" fillId="8" borderId="0" xfId="4" applyNumberFormat="1" applyFont="1" applyFill="1" applyAlignment="1" applyProtection="1">
      <alignment vertical="center"/>
    </xf>
    <xf numFmtId="164" fontId="13" fillId="5" borderId="0" xfId="3" applyNumberFormat="1" applyFont="1" applyFill="1" applyAlignment="1" applyProtection="1">
      <alignment vertical="center"/>
    </xf>
    <xf numFmtId="165" fontId="3" fillId="5" borderId="0" xfId="0" applyNumberFormat="1" applyFont="1" applyFill="1" applyAlignment="1" applyProtection="1">
      <alignment vertical="center"/>
    </xf>
    <xf numFmtId="165" fontId="13" fillId="4" borderId="0" xfId="0" applyNumberFormat="1" applyFont="1" applyFill="1" applyAlignment="1" applyProtection="1">
      <alignment vertical="center"/>
    </xf>
    <xf numFmtId="165" fontId="13" fillId="4" borderId="0" xfId="4" applyNumberFormat="1" applyFont="1" applyFill="1" applyAlignment="1" applyProtection="1">
      <alignment vertical="center"/>
    </xf>
    <xf numFmtId="164" fontId="4" fillId="8" borderId="0" xfId="3" applyNumberFormat="1" applyFont="1" applyFill="1" applyAlignment="1" applyProtection="1">
      <alignment vertical="center"/>
    </xf>
    <xf numFmtId="165" fontId="4" fillId="8" borderId="0" xfId="4" applyNumberFormat="1" applyFont="1" applyFill="1" applyAlignment="1" applyProtection="1">
      <alignment vertical="center"/>
    </xf>
    <xf numFmtId="164" fontId="4" fillId="5" borderId="0" xfId="3" applyNumberFormat="1" applyFont="1" applyFill="1" applyAlignment="1" applyProtection="1">
      <alignment vertical="center"/>
    </xf>
    <xf numFmtId="165" fontId="4" fillId="5" borderId="0" xfId="4" applyNumberFormat="1" applyFont="1" applyFill="1" applyAlignment="1" applyProtection="1">
      <alignment vertical="center"/>
    </xf>
    <xf numFmtId="165" fontId="3" fillId="4" borderId="0" xfId="4" applyNumberFormat="1" applyFont="1" applyFill="1" applyAlignment="1" applyProtection="1">
      <alignment vertical="center"/>
    </xf>
    <xf numFmtId="1" fontId="3" fillId="4" borderId="0" xfId="4" applyNumberFormat="1" applyFont="1" applyFill="1" applyAlignment="1" applyProtection="1">
      <alignment vertical="center"/>
    </xf>
    <xf numFmtId="165" fontId="3" fillId="4" borderId="0" xfId="4" applyNumberFormat="1" applyFont="1" applyFill="1" applyAlignment="1" applyProtection="1">
      <alignment horizontal="left" vertical="center"/>
    </xf>
    <xf numFmtId="164" fontId="6" fillId="5" borderId="0" xfId="3" applyNumberFormat="1" applyFont="1" applyFill="1" applyProtection="1"/>
    <xf numFmtId="0" fontId="6" fillId="5" borderId="0" xfId="0" applyFont="1" applyFill="1" applyProtection="1">
      <alignment vertical="center"/>
    </xf>
    <xf numFmtId="0" fontId="3" fillId="9" borderId="0" xfId="0" applyFont="1" applyFill="1" applyAlignment="1" applyProtection="1">
      <alignment vertical="center"/>
    </xf>
    <xf numFmtId="0" fontId="12" fillId="7" borderId="0" xfId="0" applyFont="1" applyFill="1" applyAlignment="1" applyProtection="1">
      <alignment vertical="center"/>
    </xf>
    <xf numFmtId="0" fontId="5" fillId="5" borderId="0" xfId="0" applyFont="1" applyFill="1" applyProtection="1">
      <alignment vertical="center"/>
    </xf>
    <xf numFmtId="0" fontId="6" fillId="5" borderId="0" xfId="0" applyFont="1" applyFill="1" applyAlignment="1" applyProtection="1"/>
    <xf numFmtId="0" fontId="3" fillId="5" borderId="0" xfId="0" applyFont="1" applyFill="1" applyAlignment="1" applyProtection="1"/>
    <xf numFmtId="164" fontId="3" fillId="5" borderId="0" xfId="3" applyNumberFormat="1" applyFont="1" applyFill="1" applyProtection="1"/>
    <xf numFmtId="0" fontId="3" fillId="5" borderId="0" xfId="0" applyFont="1" applyFill="1" applyProtection="1">
      <alignment vertical="center"/>
    </xf>
    <xf numFmtId="0" fontId="4" fillId="9" borderId="0" xfId="0" applyFont="1" applyFill="1" applyAlignment="1" applyProtection="1">
      <alignment vertical="center"/>
    </xf>
    <xf numFmtId="0" fontId="3" fillId="9" borderId="0" xfId="0" applyFont="1" applyFill="1" applyAlignment="1" applyProtection="1">
      <alignment vertical="top"/>
    </xf>
    <xf numFmtId="164" fontId="3" fillId="5" borderId="0" xfId="3" applyNumberFormat="1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vertical="center"/>
    </xf>
    <xf numFmtId="0" fontId="15" fillId="4" borderId="0" xfId="0" applyFont="1" applyFill="1" applyAlignment="1" applyProtection="1">
      <alignment vertical="center"/>
    </xf>
    <xf numFmtId="0" fontId="12" fillId="5" borderId="0" xfId="0" applyFont="1" applyFill="1" applyAlignment="1" applyProtection="1">
      <alignment horizontal="center" vertical="center" textRotation="90"/>
    </xf>
    <xf numFmtId="0" fontId="4" fillId="5" borderId="0" xfId="0" applyFont="1" applyFill="1" applyAlignment="1" applyProtection="1">
      <alignment vertical="center"/>
    </xf>
    <xf numFmtId="0" fontId="11" fillId="5" borderId="0" xfId="0" applyFont="1" applyFill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</xf>
    <xf numFmtId="0" fontId="12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13" fillId="5" borderId="0" xfId="0" applyFont="1" applyFill="1" applyProtection="1">
      <alignment vertical="center"/>
    </xf>
    <xf numFmtId="0" fontId="15" fillId="5" borderId="0" xfId="0" applyFont="1" applyFill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14" fillId="5" borderId="0" xfId="0" applyFont="1" applyFill="1" applyBorder="1" applyProtection="1">
      <alignment vertical="center"/>
    </xf>
    <xf numFmtId="0" fontId="21" fillId="5" borderId="0" xfId="0" applyFont="1" applyFill="1" applyBorder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21" fillId="5" borderId="0" xfId="0" applyFont="1" applyFill="1" applyBorder="1" applyAlignment="1" applyProtection="1">
      <alignment vertical="center"/>
    </xf>
    <xf numFmtId="0" fontId="22" fillId="5" borderId="0" xfId="1" applyFont="1" applyFill="1" applyBorder="1" applyAlignment="1" applyProtection="1">
      <alignment horizontal="center" vertical="center"/>
    </xf>
    <xf numFmtId="38" fontId="14" fillId="5" borderId="0" xfId="5" applyNumberFormat="1" applyFont="1" applyFill="1" applyBorder="1" applyProtection="1"/>
    <xf numFmtId="3" fontId="14" fillId="5" borderId="0" xfId="5" applyNumberFormat="1" applyFont="1" applyFill="1" applyBorder="1" applyProtection="1"/>
    <xf numFmtId="10" fontId="14" fillId="5" borderId="0" xfId="5" applyNumberFormat="1" applyFont="1" applyFill="1" applyBorder="1" applyProtection="1"/>
    <xf numFmtId="0" fontId="14" fillId="5" borderId="0" xfId="5" applyFont="1" applyFill="1" applyBorder="1" applyProtection="1"/>
    <xf numFmtId="0" fontId="14" fillId="5" borderId="0" xfId="5" applyNumberFormat="1" applyFont="1" applyFill="1" applyBorder="1" applyProtection="1"/>
    <xf numFmtId="9" fontId="14" fillId="5" borderId="0" xfId="5" applyNumberFormat="1" applyFont="1" applyFill="1" applyBorder="1" applyProtection="1"/>
    <xf numFmtId="164" fontId="14" fillId="5" borderId="0" xfId="0" applyNumberFormat="1" applyFont="1" applyFill="1" applyBorder="1" applyProtection="1">
      <alignment vertical="center"/>
    </xf>
    <xf numFmtId="43" fontId="21" fillId="5" borderId="0" xfId="0" applyNumberFormat="1" applyFont="1" applyFill="1" applyBorder="1" applyProtection="1">
      <alignment vertical="center"/>
    </xf>
    <xf numFmtId="164" fontId="14" fillId="5" borderId="0" xfId="0" applyNumberFormat="1" applyFont="1" applyFill="1" applyBorder="1" applyAlignment="1" applyProtection="1">
      <alignment vertical="center"/>
    </xf>
    <xf numFmtId="9" fontId="14" fillId="5" borderId="0" xfId="4" applyNumberFormat="1" applyFont="1" applyFill="1" applyBorder="1" applyAlignment="1" applyProtection="1">
      <alignment vertical="center"/>
    </xf>
    <xf numFmtId="9" fontId="14" fillId="5" borderId="0" xfId="4" applyFont="1" applyFill="1" applyBorder="1" applyAlignment="1" applyProtection="1">
      <alignment vertical="center"/>
    </xf>
    <xf numFmtId="43" fontId="14" fillId="5" borderId="0" xfId="0" applyNumberFormat="1" applyFont="1" applyFill="1" applyBorder="1" applyProtection="1">
      <alignment vertical="center"/>
    </xf>
    <xf numFmtId="164" fontId="14" fillId="5" borderId="0" xfId="3" applyNumberFormat="1" applyFont="1" applyFill="1" applyBorder="1" applyAlignment="1" applyProtection="1">
      <alignment vertical="center"/>
    </xf>
    <xf numFmtId="14" fontId="22" fillId="5" borderId="0" xfId="1" applyNumberFormat="1" applyFont="1" applyFill="1" applyBorder="1" applyProtection="1"/>
    <xf numFmtId="3" fontId="22" fillId="5" borderId="0" xfId="1" applyNumberFormat="1" applyFont="1" applyFill="1" applyBorder="1" applyProtection="1"/>
    <xf numFmtId="164" fontId="25" fillId="12" borderId="0" xfId="0" applyNumberFormat="1" applyFont="1" applyFill="1" applyAlignment="1" applyProtection="1">
      <alignment vertical="center"/>
    </xf>
    <xf numFmtId="164" fontId="25" fillId="12" borderId="0" xfId="3" applyNumberFormat="1" applyFont="1" applyFill="1" applyAlignment="1" applyProtection="1">
      <alignment vertical="center"/>
    </xf>
    <xf numFmtId="0" fontId="18" fillId="5" borderId="0" xfId="0" applyFont="1" applyFill="1" applyProtection="1">
      <alignment vertical="center"/>
    </xf>
    <xf numFmtId="0" fontId="26" fillId="5" borderId="0" xfId="0" applyFont="1" applyFill="1" applyProtection="1">
      <alignment vertical="center"/>
    </xf>
    <xf numFmtId="0" fontId="27" fillId="5" borderId="0" xfId="0" applyFont="1" applyFill="1" applyBorder="1" applyProtection="1">
      <alignment vertical="center"/>
    </xf>
    <xf numFmtId="0" fontId="20" fillId="5" borderId="0" xfId="0" applyFont="1" applyFill="1" applyAlignment="1" applyProtection="1">
      <alignment horizontal="left" vertical="center"/>
    </xf>
    <xf numFmtId="0" fontId="12" fillId="7" borderId="0" xfId="0" applyFont="1" applyFill="1" applyAlignment="1" applyProtection="1">
      <alignment horizontal="center" vertical="center" textRotation="90"/>
    </xf>
    <xf numFmtId="0" fontId="3" fillId="9" borderId="0" xfId="0" applyFont="1" applyFill="1" applyAlignment="1" applyProtection="1">
      <alignment horizontal="left" vertical="center" wrapText="1"/>
    </xf>
    <xf numFmtId="0" fontId="12" fillId="6" borderId="0" xfId="0" applyFont="1" applyFill="1" applyAlignment="1" applyProtection="1">
      <alignment horizontal="center" vertical="center"/>
    </xf>
    <xf numFmtId="14" fontId="18" fillId="5" borderId="0" xfId="0" applyNumberFormat="1" applyFont="1" applyFill="1" applyAlignment="1" applyProtection="1">
      <alignment horizontal="right" vertical="center"/>
    </xf>
    <xf numFmtId="14" fontId="18" fillId="5" borderId="0" xfId="0" applyNumberFormat="1" applyFont="1" applyFill="1" applyAlignment="1" applyProtection="1">
      <alignment horizontal="left" vertical="center"/>
    </xf>
    <xf numFmtId="0" fontId="12" fillId="6" borderId="0" xfId="0" applyFont="1" applyFill="1" applyAlignment="1" applyProtection="1">
      <alignment horizontal="center" vertical="center" textRotation="90"/>
    </xf>
    <xf numFmtId="0" fontId="12" fillId="10" borderId="0" xfId="0" applyFont="1" applyFill="1" applyAlignment="1" applyProtection="1">
      <alignment horizontal="left" vertical="center"/>
    </xf>
    <xf numFmtId="0" fontId="12" fillId="10" borderId="0" xfId="0" applyFont="1" applyFill="1" applyAlignment="1" applyProtection="1">
      <alignment horizontal="center" vertical="center"/>
    </xf>
    <xf numFmtId="0" fontId="12" fillId="10" borderId="0" xfId="0" applyFont="1" applyFill="1" applyAlignment="1" applyProtection="1">
      <alignment horizontal="center" vertical="center" textRotation="90"/>
    </xf>
    <xf numFmtId="0" fontId="3" fillId="11" borderId="0" xfId="0" applyFont="1" applyFill="1" applyAlignment="1" applyProtection="1">
      <alignment horizontal="left" vertical="top" wrapText="1"/>
      <protection locked="0"/>
    </xf>
    <xf numFmtId="0" fontId="12" fillId="5" borderId="0" xfId="2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left" vertical="center"/>
    </xf>
    <xf numFmtId="0" fontId="12" fillId="7" borderId="0" xfId="0" applyFont="1" applyFill="1" applyAlignment="1" applyProtection="1">
      <alignment horizontal="left" vertical="center"/>
    </xf>
    <xf numFmtId="0" fontId="12" fillId="7" borderId="0" xfId="0" applyFont="1" applyFill="1" applyAlignment="1" applyProtection="1">
      <alignment horizontal="center" vertical="center"/>
    </xf>
  </cellXfs>
  <cellStyles count="10">
    <cellStyle name="20 % - Akzent1" xfId="1" builtinId="30"/>
    <cellStyle name="Akzent1" xfId="2" builtinId="29"/>
    <cellStyle name="Besuchter Link" xfId="7" builtinId="9" hidden="1"/>
    <cellStyle name="Besuchter Link" xfId="9" builtinId="9" hidden="1"/>
    <cellStyle name="Dezimal" xfId="3" builtinId="3"/>
    <cellStyle name="Link" xfId="6" builtinId="8" hidden="1"/>
    <cellStyle name="Link" xfId="8" builtinId="8" hidden="1"/>
    <cellStyle name="Prozent" xfId="4" builtinId="5"/>
    <cellStyle name="Standard" xfId="0" builtinId="0"/>
    <cellStyle name="Standard 6" xf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00"/>
      <color rgb="FFCCCC00"/>
      <color rgb="FF666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$E$8" horiz="1" inc="50" max="200" page="5" val="30"/>
</file>

<file path=xl/ctrlProps/ctrlProp10.xml><?xml version="1.0" encoding="utf-8"?>
<formControlPr xmlns="http://schemas.microsoft.com/office/spreadsheetml/2009/9/main" objectType="Scroll" dx="16" fmlaLink="$E$18" horiz="1" inc="50" max="200" page="5" val="10"/>
</file>

<file path=xl/ctrlProps/ctrlProp2.xml><?xml version="1.0" encoding="utf-8"?>
<formControlPr xmlns="http://schemas.microsoft.com/office/spreadsheetml/2009/9/main" objectType="Scroll" dx="16" fmlaLink="$E$9" horiz="1" inc="50" max="200" page="5" val="50"/>
</file>

<file path=xl/ctrlProps/ctrlProp3.xml><?xml version="1.0" encoding="utf-8"?>
<formControlPr xmlns="http://schemas.microsoft.com/office/spreadsheetml/2009/9/main" objectType="Scroll" dx="16" fmlaLink="$E$12" horiz="1" inc="50" max="200" page="5" val="25"/>
</file>

<file path=xl/ctrlProps/ctrlProp4.xml><?xml version="1.0" encoding="utf-8"?>
<formControlPr xmlns="http://schemas.microsoft.com/office/spreadsheetml/2009/9/main" objectType="Scroll" dx="16" fmlaLink="$E$19" horiz="1" inc="50" max="200" page="5" val="30"/>
</file>

<file path=xl/ctrlProps/ctrlProp5.xml><?xml version="1.0" encoding="utf-8"?>
<formControlPr xmlns="http://schemas.microsoft.com/office/spreadsheetml/2009/9/main" objectType="Scroll" dx="16" fmlaLink="$E$20" horiz="1" inc="50" max="200" page="5" val="26"/>
</file>

<file path=xl/ctrlProps/ctrlProp6.xml><?xml version="1.0" encoding="utf-8"?>
<formControlPr xmlns="http://schemas.microsoft.com/office/spreadsheetml/2009/9/main" objectType="Scroll" dx="16" fmlaLink="$E$23" horiz="1" inc="50" max="200" page="5" val="50"/>
</file>

<file path=xl/ctrlProps/ctrlProp7.xml><?xml version="1.0" encoding="utf-8"?>
<formControlPr xmlns="http://schemas.microsoft.com/office/spreadsheetml/2009/9/main" objectType="Scroll" dx="16" fmlaLink="$E$24" horiz="1" inc="5" max="200" page="5" val="69"/>
</file>

<file path=xl/ctrlProps/ctrlProp8.xml><?xml version="1.0" encoding="utf-8"?>
<formControlPr xmlns="http://schemas.microsoft.com/office/spreadsheetml/2009/9/main" objectType="Scroll" dx="16" fmlaLink="$E$25" horiz="1" inc="50" max="200" page="5" val="152"/>
</file>

<file path=xl/ctrlProps/ctrlProp9.xml><?xml version="1.0" encoding="utf-8"?>
<formControlPr xmlns="http://schemas.microsoft.com/office/spreadsheetml/2009/9/main" objectType="Scroll" dx="16" fmlaLink="$E$26" horiz="1" inc="50" max="200" page="5" val="10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ypopilot.ch/" TargetMode="External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2805046</xdr:colOff>
      <xdr:row>0</xdr:row>
      <xdr:rowOff>237067</xdr:rowOff>
    </xdr:from>
    <xdr:to>
      <xdr:col>7</xdr:col>
      <xdr:colOff>0</xdr:colOff>
      <xdr:row>3</xdr:row>
      <xdr:rowOff>70909</xdr:rowOff>
    </xdr:to>
    <xdr:pic>
      <xdr:nvPicPr>
        <xdr:cNvPr id="5290" name="Bild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4713" y="237067"/>
          <a:ext cx="2226270" cy="672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7</xdr:row>
          <xdr:rowOff>38100</xdr:rowOff>
        </xdr:from>
        <xdr:to>
          <xdr:col>4</xdr:col>
          <xdr:colOff>0</xdr:colOff>
          <xdr:row>7</xdr:row>
          <xdr:rowOff>228600</xdr:rowOff>
        </xdr:to>
        <xdr:sp macro="" textlink="">
          <xdr:nvSpPr>
            <xdr:cNvPr id="5142" name="Scroll Bar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</xdr:row>
          <xdr:rowOff>12700</xdr:rowOff>
        </xdr:from>
        <xdr:to>
          <xdr:col>4</xdr:col>
          <xdr:colOff>0</xdr:colOff>
          <xdr:row>8</xdr:row>
          <xdr:rowOff>203200</xdr:rowOff>
        </xdr:to>
        <xdr:sp macro="" textlink="">
          <xdr:nvSpPr>
            <xdr:cNvPr id="5145" name="Scroll Bar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11</xdr:row>
          <xdr:rowOff>38100</xdr:rowOff>
        </xdr:from>
        <xdr:to>
          <xdr:col>4</xdr:col>
          <xdr:colOff>0</xdr:colOff>
          <xdr:row>11</xdr:row>
          <xdr:rowOff>228600</xdr:rowOff>
        </xdr:to>
        <xdr:sp macro="" textlink="">
          <xdr:nvSpPr>
            <xdr:cNvPr id="5146" name="Scroll Bar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18</xdr:row>
          <xdr:rowOff>38100</xdr:rowOff>
        </xdr:from>
        <xdr:to>
          <xdr:col>4</xdr:col>
          <xdr:colOff>0</xdr:colOff>
          <xdr:row>18</xdr:row>
          <xdr:rowOff>228600</xdr:rowOff>
        </xdr:to>
        <xdr:sp macro="" textlink="">
          <xdr:nvSpPr>
            <xdr:cNvPr id="5147" name="Scroll Bar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19</xdr:row>
          <xdr:rowOff>25400</xdr:rowOff>
        </xdr:from>
        <xdr:to>
          <xdr:col>4</xdr:col>
          <xdr:colOff>0</xdr:colOff>
          <xdr:row>19</xdr:row>
          <xdr:rowOff>215900</xdr:rowOff>
        </xdr:to>
        <xdr:sp macro="" textlink="">
          <xdr:nvSpPr>
            <xdr:cNvPr id="5148" name="Scroll Bar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22</xdr:row>
          <xdr:rowOff>25400</xdr:rowOff>
        </xdr:from>
        <xdr:to>
          <xdr:col>4</xdr:col>
          <xdr:colOff>0</xdr:colOff>
          <xdr:row>22</xdr:row>
          <xdr:rowOff>215900</xdr:rowOff>
        </xdr:to>
        <xdr:sp macro="" textlink="">
          <xdr:nvSpPr>
            <xdr:cNvPr id="5163" name="Scroll Bar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23</xdr:row>
          <xdr:rowOff>25400</xdr:rowOff>
        </xdr:from>
        <xdr:to>
          <xdr:col>4</xdr:col>
          <xdr:colOff>0</xdr:colOff>
          <xdr:row>23</xdr:row>
          <xdr:rowOff>215900</xdr:rowOff>
        </xdr:to>
        <xdr:sp macro="" textlink="">
          <xdr:nvSpPr>
            <xdr:cNvPr id="5164" name="Scroll Bar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24</xdr:row>
          <xdr:rowOff>25400</xdr:rowOff>
        </xdr:from>
        <xdr:to>
          <xdr:col>4</xdr:col>
          <xdr:colOff>0</xdr:colOff>
          <xdr:row>24</xdr:row>
          <xdr:rowOff>215900</xdr:rowOff>
        </xdr:to>
        <xdr:sp macro="" textlink="">
          <xdr:nvSpPr>
            <xdr:cNvPr id="5165" name="Scroll Bar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25</xdr:row>
          <xdr:rowOff>25400</xdr:rowOff>
        </xdr:from>
        <xdr:to>
          <xdr:col>4</xdr:col>
          <xdr:colOff>0</xdr:colOff>
          <xdr:row>25</xdr:row>
          <xdr:rowOff>215900</xdr:rowOff>
        </xdr:to>
        <xdr:sp macro="" textlink="">
          <xdr:nvSpPr>
            <xdr:cNvPr id="5166" name="Scroll Bar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17</xdr:row>
          <xdr:rowOff>38100</xdr:rowOff>
        </xdr:from>
        <xdr:to>
          <xdr:col>4</xdr:col>
          <xdr:colOff>0</xdr:colOff>
          <xdr:row>17</xdr:row>
          <xdr:rowOff>228600</xdr:rowOff>
        </xdr:to>
        <xdr:sp macro="" textlink="">
          <xdr:nvSpPr>
            <xdr:cNvPr id="5184" name="Scroll Bar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华文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C71"/>
  <sheetViews>
    <sheetView showGridLines="0" showRowColHeaders="0" tabSelected="1" workbookViewId="0">
      <selection activeCell="C61" sqref="C61:G63"/>
    </sheetView>
  </sheetViews>
  <sheetFormatPr baseColWidth="10" defaultColWidth="11" defaultRowHeight="12" x14ac:dyDescent="0"/>
  <cols>
    <col min="1" max="1" width="6" style="26" customWidth="1"/>
    <col min="2" max="2" width="4" style="26" customWidth="1"/>
    <col min="3" max="3" width="82.796875" style="26" customWidth="1"/>
    <col min="4" max="4" width="50" style="26" customWidth="1"/>
    <col min="5" max="5" width="12.796875" style="26" hidden="1" customWidth="1"/>
    <col min="6" max="6" width="13.19921875" style="26" customWidth="1"/>
    <col min="7" max="7" width="12.19921875" style="26" customWidth="1"/>
    <col min="8" max="8" width="7.3984375" style="26" hidden="1" customWidth="1"/>
    <col min="9" max="9" width="3.796875" style="26" hidden="1" customWidth="1"/>
    <col min="10" max="10" width="23.19921875" style="47" hidden="1" customWidth="1"/>
    <col min="11" max="11" width="11.59765625" style="47" hidden="1" customWidth="1"/>
    <col min="12" max="12" width="6" style="48" hidden="1" customWidth="1"/>
    <col min="13" max="28" width="11" style="48" hidden="1" customWidth="1"/>
    <col min="29" max="29" width="8" style="26" hidden="1" customWidth="1"/>
    <col min="30" max="30" width="7.59765625" style="26" customWidth="1"/>
    <col min="31" max="31" width="7.19921875" style="26" customWidth="1"/>
    <col min="32" max="16384" width="11" style="26"/>
  </cols>
  <sheetData>
    <row r="1" spans="2:28" ht="25" customHeight="1"/>
    <row r="2" spans="2:28" ht="15.75" customHeight="1">
      <c r="B2" s="72" t="s">
        <v>18</v>
      </c>
      <c r="C2" s="72"/>
      <c r="D2" s="72"/>
      <c r="E2" s="40"/>
      <c r="F2" s="40"/>
      <c r="G2" s="40"/>
      <c r="H2" s="40"/>
    </row>
    <row r="3" spans="2:28" ht="24" customHeight="1">
      <c r="B3" s="72"/>
      <c r="C3" s="72"/>
      <c r="D3" s="72"/>
      <c r="E3" s="40"/>
      <c r="F3" s="40"/>
      <c r="G3" s="40"/>
      <c r="H3" s="40"/>
    </row>
    <row r="4" spans="2:28" ht="6.75" customHeight="1">
      <c r="C4" s="40"/>
      <c r="D4" s="40"/>
      <c r="E4" s="40"/>
      <c r="F4" s="40"/>
      <c r="G4" s="40"/>
      <c r="H4" s="40"/>
    </row>
    <row r="5" spans="2:28" ht="51" customHeight="1"/>
    <row r="6" spans="2:28" s="43" customFormat="1" ht="21" customHeight="1">
      <c r="B6" s="84" t="s">
        <v>48</v>
      </c>
      <c r="C6" s="84"/>
      <c r="D6" s="41"/>
      <c r="E6" s="41"/>
      <c r="F6" s="75"/>
      <c r="G6" s="75"/>
      <c r="H6" s="42"/>
      <c r="J6" s="49"/>
      <c r="K6" s="49"/>
      <c r="L6" s="50"/>
      <c r="M6" s="50"/>
      <c r="N6" s="83" t="s">
        <v>16</v>
      </c>
      <c r="O6" s="83"/>
      <c r="P6" s="83"/>
      <c r="Q6" s="83"/>
      <c r="R6" s="83"/>
      <c r="S6" s="83"/>
      <c r="T6" s="83"/>
      <c r="U6" s="50"/>
      <c r="V6" s="83" t="s">
        <v>29</v>
      </c>
      <c r="W6" s="83"/>
      <c r="X6" s="83"/>
      <c r="Y6" s="83"/>
      <c r="Z6" s="83"/>
      <c r="AA6" s="83"/>
      <c r="AB6" s="83"/>
    </row>
    <row r="7" spans="2:28" ht="10.5" customHeight="1">
      <c r="B7" s="34"/>
      <c r="C7" s="30"/>
      <c r="D7" s="30"/>
      <c r="E7" s="30"/>
      <c r="F7" s="44"/>
      <c r="G7" s="44"/>
      <c r="H7" s="30"/>
      <c r="N7" s="51" t="s">
        <v>5</v>
      </c>
      <c r="O7" s="51" t="s">
        <v>9</v>
      </c>
      <c r="P7" s="51" t="s">
        <v>10</v>
      </c>
      <c r="Q7" s="51" t="s">
        <v>11</v>
      </c>
      <c r="R7" s="51" t="s">
        <v>12</v>
      </c>
      <c r="S7" s="51" t="s">
        <v>13</v>
      </c>
      <c r="T7" s="51" t="s">
        <v>14</v>
      </c>
      <c r="V7" s="51" t="s">
        <v>5</v>
      </c>
      <c r="W7" s="51" t="s">
        <v>9</v>
      </c>
      <c r="X7" s="51" t="s">
        <v>10</v>
      </c>
      <c r="Y7" s="51" t="s">
        <v>11</v>
      </c>
      <c r="Z7" s="51" t="s">
        <v>12</v>
      </c>
      <c r="AA7" s="51" t="s">
        <v>13</v>
      </c>
      <c r="AB7" s="51" t="s">
        <v>14</v>
      </c>
    </row>
    <row r="8" spans="2:28" s="43" customFormat="1" ht="21" customHeight="1">
      <c r="B8" s="78" t="s">
        <v>2</v>
      </c>
      <c r="C8" s="35" t="s">
        <v>3</v>
      </c>
      <c r="D8" s="35"/>
      <c r="E8" s="1">
        <v>30</v>
      </c>
      <c r="F8" s="2">
        <f>MAX(E8*10000,0)</f>
        <v>300000</v>
      </c>
      <c r="G8" s="3"/>
      <c r="H8" s="34"/>
      <c r="J8" s="49"/>
      <c r="K8" s="49"/>
      <c r="L8" s="50"/>
      <c r="M8" s="50"/>
      <c r="N8" s="52">
        <f>F24</f>
        <v>35</v>
      </c>
      <c r="O8" s="52"/>
      <c r="P8" s="53">
        <f>F14</f>
        <v>533000</v>
      </c>
      <c r="Q8" s="54">
        <f>F23</f>
        <v>0.05</v>
      </c>
      <c r="R8" s="55"/>
      <c r="S8" s="53">
        <f>-PMT(Q8,N8,P8)</f>
        <v>32551.219954042954</v>
      </c>
      <c r="T8" s="56"/>
      <c r="U8" s="50"/>
      <c r="V8" s="52">
        <f>F25</f>
        <v>15</v>
      </c>
      <c r="W8" s="52"/>
      <c r="X8" s="53">
        <f>F15</f>
        <v>17000</v>
      </c>
      <c r="Y8" s="54">
        <f>F23+1%</f>
        <v>6.0000000000000005E-2</v>
      </c>
      <c r="Z8" s="55"/>
      <c r="AA8" s="53">
        <f>-PMT(Y8,V8,X8)</f>
        <v>1750.3669872403161</v>
      </c>
      <c r="AB8" s="56"/>
    </row>
    <row r="9" spans="2:28" s="43" customFormat="1" ht="21" customHeight="1">
      <c r="B9" s="78"/>
      <c r="C9" s="35" t="s">
        <v>30</v>
      </c>
      <c r="D9" s="35"/>
      <c r="E9" s="1">
        <v>50</v>
      </c>
      <c r="F9" s="2">
        <f>MAX(E9*10000,0)</f>
        <v>500000</v>
      </c>
      <c r="G9" s="3"/>
      <c r="H9" s="34"/>
      <c r="J9" s="49"/>
      <c r="K9" s="49"/>
      <c r="L9" s="50"/>
      <c r="M9" s="50"/>
      <c r="N9" s="55"/>
      <c r="O9" s="55"/>
      <c r="P9" s="55"/>
      <c r="Q9" s="57"/>
      <c r="R9" s="55"/>
      <c r="S9" s="53"/>
      <c r="T9" s="56"/>
      <c r="U9" s="50"/>
      <c r="V9" s="55"/>
      <c r="W9" s="55"/>
      <c r="X9" s="55"/>
      <c r="Y9" s="57"/>
      <c r="Z9" s="55"/>
      <c r="AA9" s="53"/>
      <c r="AB9" s="56"/>
    </row>
    <row r="10" spans="2:28" ht="21" customHeight="1">
      <c r="B10" s="78"/>
      <c r="C10" s="36" t="s">
        <v>37</v>
      </c>
      <c r="D10" s="36"/>
      <c r="E10" s="36"/>
      <c r="F10" s="4">
        <f>ROUND(SUM(F8:F9),-3)</f>
        <v>800000</v>
      </c>
      <c r="G10" s="5"/>
      <c r="H10" s="39"/>
      <c r="J10" s="47" t="s">
        <v>19</v>
      </c>
      <c r="K10" s="58">
        <f>F10*0.98^10</f>
        <v>653658.24551003729</v>
      </c>
      <c r="L10" s="59">
        <f>(F10-K10)/F10</f>
        <v>0.1829271931124534</v>
      </c>
      <c r="N10" s="56">
        <f>IF($N$8&gt;=T10,T10,0)</f>
        <v>0</v>
      </c>
      <c r="O10" s="56">
        <f>N10+1</f>
        <v>1</v>
      </c>
      <c r="P10" s="53">
        <f>P8</f>
        <v>533000</v>
      </c>
      <c r="Q10" s="53"/>
      <c r="R10" s="53"/>
      <c r="S10" s="55"/>
      <c r="T10" s="56">
        <v>0</v>
      </c>
      <c r="V10" s="56">
        <f>IF($V$8&gt;=AB10,AB10,0)</f>
        <v>0</v>
      </c>
      <c r="W10" s="56">
        <f>V10+1</f>
        <v>1</v>
      </c>
      <c r="X10" s="53">
        <f>X8</f>
        <v>17000</v>
      </c>
      <c r="Y10" s="53"/>
      <c r="Z10" s="53"/>
      <c r="AA10" s="55"/>
      <c r="AB10" s="56">
        <v>0</v>
      </c>
    </row>
    <row r="11" spans="2:28" ht="10.5" customHeight="1">
      <c r="B11" s="30"/>
      <c r="C11" s="34"/>
      <c r="D11" s="34"/>
      <c r="E11" s="34"/>
      <c r="F11" s="6"/>
      <c r="G11" s="6"/>
      <c r="H11" s="34"/>
      <c r="N11" s="56">
        <f t="shared" ref="N11:N51" si="0">IF($N$8&gt;=T11,T11,0)</f>
        <v>1</v>
      </c>
      <c r="O11" s="56">
        <f>IF(N11=0,0,N11+1)</f>
        <v>2</v>
      </c>
      <c r="P11" s="53">
        <f>IF(N11=0,0,P10-R11)</f>
        <v>527098.78004595707</v>
      </c>
      <c r="Q11" s="53">
        <f>IF(N11=0,0,P10*$Q$8)</f>
        <v>26650</v>
      </c>
      <c r="R11" s="53">
        <f>IF(N11=0,0,$S$8-Q11)</f>
        <v>5901.2199540429538</v>
      </c>
      <c r="S11" s="53">
        <f>IF(N11=0,0,$S$8)</f>
        <v>32551.219954042954</v>
      </c>
      <c r="T11" s="56">
        <v>1</v>
      </c>
      <c r="V11" s="56">
        <f>IF($V$8&gt;=AB11,AB11,0)</f>
        <v>1</v>
      </c>
      <c r="W11" s="56">
        <f>IF(V11=0,0,V11+1)</f>
        <v>2</v>
      </c>
      <c r="X11" s="53">
        <f>IF(V11=0,0,X10-Z11)</f>
        <v>16269.633012759685</v>
      </c>
      <c r="Y11" s="53">
        <f>IF(V11=0,0,X10*$Y$8)</f>
        <v>1020.0000000000001</v>
      </c>
      <c r="Z11" s="53">
        <f>IF(V11=0,0,$AA$8-Y11)</f>
        <v>730.36698724031601</v>
      </c>
      <c r="AA11" s="53">
        <f>IF(V11=0,0,$AA$8)</f>
        <v>1750.3669872403161</v>
      </c>
      <c r="AB11" s="56">
        <v>1</v>
      </c>
    </row>
    <row r="12" spans="2:28" s="43" customFormat="1" ht="21" customHeight="1">
      <c r="B12" s="78" t="s">
        <v>1</v>
      </c>
      <c r="C12" s="35" t="s">
        <v>34</v>
      </c>
      <c r="D12" s="35"/>
      <c r="E12" s="1">
        <v>25</v>
      </c>
      <c r="F12" s="2">
        <f>MAX(E12*10000,0)</f>
        <v>250000</v>
      </c>
      <c r="G12" s="7">
        <f>IFERROR(F12/F10,0)</f>
        <v>0.3125</v>
      </c>
      <c r="H12" s="34"/>
      <c r="J12" s="49" t="s">
        <v>21</v>
      </c>
      <c r="K12" s="60">
        <f>K10-K13</f>
        <v>103658.24551003729</v>
      </c>
      <c r="L12" s="50"/>
      <c r="M12" s="50"/>
      <c r="N12" s="56">
        <f t="shared" si="0"/>
        <v>2</v>
      </c>
      <c r="O12" s="56">
        <f t="shared" ref="O12:O51" si="1">IF(N12=0,0,N12+1)</f>
        <v>3</v>
      </c>
      <c r="P12" s="53">
        <f t="shared" ref="P12:P51" si="2">IF(N12=0,0,P11-R12)</f>
        <v>520902.49909421196</v>
      </c>
      <c r="Q12" s="53">
        <f t="shared" ref="Q12:Q51" si="3">IF(N12=0,0,P11*$Q$8)</f>
        <v>26354.939002297855</v>
      </c>
      <c r="R12" s="53">
        <f t="shared" ref="R12:R51" si="4">IF(N12=0,0,$S$8-Q12)</f>
        <v>6196.2809517450987</v>
      </c>
      <c r="S12" s="53">
        <f t="shared" ref="S12:S51" si="5">IF(N12=0,0,$S$8)</f>
        <v>32551.219954042954</v>
      </c>
      <c r="T12" s="56">
        <v>2</v>
      </c>
      <c r="U12" s="50"/>
      <c r="V12" s="56">
        <f t="shared" ref="V12:V51" si="6">IF($V$8&gt;=AB12,AB12,0)</f>
        <v>2</v>
      </c>
      <c r="W12" s="56">
        <f t="shared" ref="W12:W51" si="7">IF(V12=0,0,V12+1)</f>
        <v>3</v>
      </c>
      <c r="X12" s="53">
        <f t="shared" ref="X12:X51" si="8">IF(V12=0,0,X11-Z12)</f>
        <v>15495.44400628495</v>
      </c>
      <c r="Y12" s="53">
        <f t="shared" ref="Y12:Y51" si="9">IF(V12=0,0,X11*$Y$8)</f>
        <v>976.1779807655812</v>
      </c>
      <c r="Z12" s="53">
        <f t="shared" ref="Z12:Z51" si="10">IF(V12=0,0,$AA$8-Y12)</f>
        <v>774.18900647473492</v>
      </c>
      <c r="AA12" s="53">
        <f t="shared" ref="AA12:AA51" si="11">IF(V12=0,0,$AA$8)</f>
        <v>1750.3669872403161</v>
      </c>
      <c r="AB12" s="56">
        <v>2</v>
      </c>
    </row>
    <row r="13" spans="2:28" s="43" customFormat="1" ht="21" customHeight="1">
      <c r="B13" s="78"/>
      <c r="C13" s="35" t="s">
        <v>51</v>
      </c>
      <c r="D13" s="35"/>
      <c r="E13" s="35"/>
      <c r="F13" s="2">
        <f>F10-F12</f>
        <v>550000</v>
      </c>
      <c r="G13" s="7">
        <f>IFERROR(F13/F10,0)</f>
        <v>0.6875</v>
      </c>
      <c r="H13" s="34"/>
      <c r="J13" s="49" t="s">
        <v>20</v>
      </c>
      <c r="K13" s="60">
        <f>F13</f>
        <v>550000</v>
      </c>
      <c r="L13" s="50"/>
      <c r="M13" s="50"/>
      <c r="N13" s="56">
        <f t="shared" si="0"/>
        <v>3</v>
      </c>
      <c r="O13" s="56">
        <f t="shared" si="1"/>
        <v>4</v>
      </c>
      <c r="P13" s="53">
        <f t="shared" si="2"/>
        <v>514396.40409487963</v>
      </c>
      <c r="Q13" s="53">
        <f t="shared" si="3"/>
        <v>26045.124954710598</v>
      </c>
      <c r="R13" s="53">
        <f t="shared" si="4"/>
        <v>6506.0949993323557</v>
      </c>
      <c r="S13" s="53">
        <f t="shared" si="5"/>
        <v>32551.219954042954</v>
      </c>
      <c r="T13" s="56">
        <v>3</v>
      </c>
      <c r="U13" s="50"/>
      <c r="V13" s="56">
        <f t="shared" si="6"/>
        <v>3</v>
      </c>
      <c r="W13" s="56">
        <f t="shared" si="7"/>
        <v>4</v>
      </c>
      <c r="X13" s="53">
        <f t="shared" si="8"/>
        <v>14674.80365942173</v>
      </c>
      <c r="Y13" s="53">
        <f t="shared" si="9"/>
        <v>929.72664037709706</v>
      </c>
      <c r="Z13" s="53">
        <f t="shared" si="10"/>
        <v>820.64034686321907</v>
      </c>
      <c r="AA13" s="53">
        <f t="shared" si="11"/>
        <v>1750.3669872403161</v>
      </c>
      <c r="AB13" s="56">
        <v>3</v>
      </c>
    </row>
    <row r="14" spans="2:28" s="43" customFormat="1" ht="21" customHeight="1">
      <c r="B14" s="78"/>
      <c r="C14" s="37" t="s">
        <v>36</v>
      </c>
      <c r="D14" s="37"/>
      <c r="E14" s="37"/>
      <c r="F14" s="8">
        <f>ROUND(MIN(F10*2/3,F13),-3)</f>
        <v>533000</v>
      </c>
      <c r="G14" s="9">
        <f>IFERROR(F14/F10,0)</f>
        <v>0.66625000000000001</v>
      </c>
      <c r="H14" s="45"/>
      <c r="J14" s="49"/>
      <c r="K14" s="49"/>
      <c r="L14" s="50"/>
      <c r="M14" s="50"/>
      <c r="N14" s="56">
        <f t="shared" si="0"/>
        <v>4</v>
      </c>
      <c r="O14" s="56">
        <f t="shared" si="1"/>
        <v>5</v>
      </c>
      <c r="P14" s="53">
        <f t="shared" si="2"/>
        <v>507565.00434558064</v>
      </c>
      <c r="Q14" s="53">
        <f t="shared" si="3"/>
        <v>25719.820204743985</v>
      </c>
      <c r="R14" s="53">
        <f t="shared" si="4"/>
        <v>6831.3997492989693</v>
      </c>
      <c r="S14" s="53">
        <f t="shared" si="5"/>
        <v>32551.219954042954</v>
      </c>
      <c r="T14" s="56">
        <v>4</v>
      </c>
      <c r="U14" s="50"/>
      <c r="V14" s="56">
        <f t="shared" si="6"/>
        <v>4</v>
      </c>
      <c r="W14" s="56">
        <f t="shared" si="7"/>
        <v>5</v>
      </c>
      <c r="X14" s="53">
        <f t="shared" si="8"/>
        <v>13804.924891746718</v>
      </c>
      <c r="Y14" s="53">
        <f t="shared" si="9"/>
        <v>880.48821956530389</v>
      </c>
      <c r="Z14" s="53">
        <f t="shared" si="10"/>
        <v>869.87876767501223</v>
      </c>
      <c r="AA14" s="53">
        <f t="shared" si="11"/>
        <v>1750.3669872403161</v>
      </c>
      <c r="AB14" s="56">
        <v>4</v>
      </c>
    </row>
    <row r="15" spans="2:28" s="43" customFormat="1" ht="21" customHeight="1">
      <c r="B15" s="78"/>
      <c r="C15" s="37" t="s">
        <v>35</v>
      </c>
      <c r="D15" s="37"/>
      <c r="E15" s="37"/>
      <c r="F15" s="8">
        <f>F13-F14</f>
        <v>17000</v>
      </c>
      <c r="G15" s="9">
        <f>IFERROR(F15/F10,0)</f>
        <v>2.1250000000000002E-2</v>
      </c>
      <c r="H15" s="45"/>
      <c r="J15" s="49" t="s">
        <v>23</v>
      </c>
      <c r="K15" s="61">
        <f>K12/K10</f>
        <v>0.15858171486715464</v>
      </c>
      <c r="L15" s="50"/>
      <c r="M15" s="50"/>
      <c r="N15" s="56">
        <f t="shared" si="0"/>
        <v>5</v>
      </c>
      <c r="O15" s="56">
        <f t="shared" si="1"/>
        <v>6</v>
      </c>
      <c r="P15" s="53">
        <f t="shared" si="2"/>
        <v>500392.03460881673</v>
      </c>
      <c r="Q15" s="53">
        <f t="shared" si="3"/>
        <v>25378.250217279034</v>
      </c>
      <c r="R15" s="53">
        <f t="shared" si="4"/>
        <v>7172.9697367639201</v>
      </c>
      <c r="S15" s="53">
        <f t="shared" si="5"/>
        <v>32551.219954042954</v>
      </c>
      <c r="T15" s="56">
        <v>5</v>
      </c>
      <c r="U15" s="50"/>
      <c r="V15" s="56">
        <f t="shared" si="6"/>
        <v>5</v>
      </c>
      <c r="W15" s="56">
        <f t="shared" si="7"/>
        <v>6</v>
      </c>
      <c r="X15" s="53">
        <f t="shared" si="8"/>
        <v>12882.853398011204</v>
      </c>
      <c r="Y15" s="53">
        <f t="shared" si="9"/>
        <v>828.29549350480306</v>
      </c>
      <c r="Z15" s="53">
        <f t="shared" si="10"/>
        <v>922.07149373551306</v>
      </c>
      <c r="AA15" s="53">
        <f t="shared" si="11"/>
        <v>1750.3669872403161</v>
      </c>
      <c r="AB15" s="56">
        <v>5</v>
      </c>
    </row>
    <row r="16" spans="2:28" ht="21" customHeight="1">
      <c r="B16" s="78"/>
      <c r="C16" s="36" t="s">
        <v>38</v>
      </c>
      <c r="D16" s="36"/>
      <c r="E16" s="36"/>
      <c r="F16" s="4">
        <f>SUM(F12:F13)</f>
        <v>800000</v>
      </c>
      <c r="G16" s="10">
        <f>IFERROR(F16/F10,0)</f>
        <v>1</v>
      </c>
      <c r="H16" s="39"/>
      <c r="N16" s="56">
        <f t="shared" si="0"/>
        <v>6</v>
      </c>
      <c r="O16" s="56">
        <f t="shared" si="1"/>
        <v>7</v>
      </c>
      <c r="P16" s="53">
        <f t="shared" si="2"/>
        <v>492860.4163852146</v>
      </c>
      <c r="Q16" s="53">
        <f t="shared" si="3"/>
        <v>25019.601730440838</v>
      </c>
      <c r="R16" s="53">
        <f t="shared" si="4"/>
        <v>7531.6182236021159</v>
      </c>
      <c r="S16" s="53">
        <f t="shared" si="5"/>
        <v>32551.219954042954</v>
      </c>
      <c r="T16" s="56">
        <v>6</v>
      </c>
      <c r="V16" s="56">
        <f t="shared" si="6"/>
        <v>6</v>
      </c>
      <c r="W16" s="56">
        <f t="shared" si="7"/>
        <v>7</v>
      </c>
      <c r="X16" s="53">
        <f t="shared" si="8"/>
        <v>11905.457614651561</v>
      </c>
      <c r="Y16" s="53">
        <f t="shared" si="9"/>
        <v>772.97120388067231</v>
      </c>
      <c r="Z16" s="53">
        <f t="shared" si="10"/>
        <v>977.39578335964381</v>
      </c>
      <c r="AA16" s="53">
        <f t="shared" si="11"/>
        <v>1750.3669872403161</v>
      </c>
      <c r="AB16" s="56">
        <v>6</v>
      </c>
    </row>
    <row r="17" spans="2:28" ht="10.5" customHeight="1">
      <c r="B17" s="30"/>
      <c r="C17" s="34"/>
      <c r="D17" s="34"/>
      <c r="E17" s="34"/>
      <c r="F17" s="11"/>
      <c r="G17" s="12"/>
      <c r="H17" s="34"/>
      <c r="N17" s="56">
        <f t="shared" si="0"/>
        <v>7</v>
      </c>
      <c r="O17" s="56">
        <f t="shared" si="1"/>
        <v>8</v>
      </c>
      <c r="P17" s="53">
        <f t="shared" si="2"/>
        <v>484952.21725043235</v>
      </c>
      <c r="Q17" s="53">
        <f t="shared" si="3"/>
        <v>24643.020819260732</v>
      </c>
      <c r="R17" s="53">
        <f t="shared" si="4"/>
        <v>7908.1991347822222</v>
      </c>
      <c r="S17" s="53">
        <f t="shared" si="5"/>
        <v>32551.219954042954</v>
      </c>
      <c r="T17" s="56">
        <v>7</v>
      </c>
      <c r="V17" s="56">
        <f t="shared" si="6"/>
        <v>7</v>
      </c>
      <c r="W17" s="56">
        <f t="shared" si="7"/>
        <v>8</v>
      </c>
      <c r="X17" s="53">
        <f t="shared" si="8"/>
        <v>10869.418084290339</v>
      </c>
      <c r="Y17" s="53">
        <f t="shared" si="9"/>
        <v>714.32745687909369</v>
      </c>
      <c r="Z17" s="53">
        <f t="shared" si="10"/>
        <v>1036.0395303612224</v>
      </c>
      <c r="AA17" s="53">
        <f t="shared" si="11"/>
        <v>1750.3669872403161</v>
      </c>
      <c r="AB17" s="56">
        <v>7</v>
      </c>
    </row>
    <row r="18" spans="2:28" ht="21" customHeight="1">
      <c r="B18" s="78" t="s">
        <v>0</v>
      </c>
      <c r="C18" s="35" t="s">
        <v>31</v>
      </c>
      <c r="D18" s="35"/>
      <c r="E18" s="1">
        <v>10</v>
      </c>
      <c r="F18" s="2">
        <f>MAX(E18*20000,0)</f>
        <v>200000</v>
      </c>
      <c r="G18" s="13"/>
      <c r="H18" s="34"/>
      <c r="J18" s="47" t="s">
        <v>24</v>
      </c>
      <c r="K18" s="58">
        <f>K12+F18*0.9</f>
        <v>283658.24551003729</v>
      </c>
      <c r="N18" s="56"/>
      <c r="O18" s="56"/>
      <c r="P18" s="53"/>
      <c r="Q18" s="53"/>
      <c r="R18" s="53"/>
      <c r="S18" s="53"/>
      <c r="T18" s="56"/>
      <c r="V18" s="56"/>
      <c r="W18" s="56"/>
      <c r="X18" s="53"/>
      <c r="Y18" s="53"/>
      <c r="Z18" s="53"/>
      <c r="AA18" s="53"/>
      <c r="AB18" s="56"/>
    </row>
    <row r="19" spans="2:28" ht="21" customHeight="1">
      <c r="B19" s="78"/>
      <c r="C19" s="35" t="s">
        <v>46</v>
      </c>
      <c r="D19" s="35"/>
      <c r="E19" s="1">
        <v>30</v>
      </c>
      <c r="F19" s="2">
        <f>MAX(E19*5000,10000)</f>
        <v>150000</v>
      </c>
      <c r="G19" s="13"/>
      <c r="H19" s="34"/>
      <c r="J19" s="47" t="s">
        <v>25</v>
      </c>
      <c r="K19" s="62">
        <f>K18/K10</f>
        <v>0.4339549718197222</v>
      </c>
      <c r="N19" s="56">
        <f t="shared" si="0"/>
        <v>8</v>
      </c>
      <c r="O19" s="56">
        <f t="shared" si="1"/>
        <v>9</v>
      </c>
      <c r="P19" s="53">
        <f>IF(N19=0,0,P17-R19)</f>
        <v>476648.608158911</v>
      </c>
      <c r="Q19" s="53">
        <f>IF(N19=0,0,P17*$Q$8)</f>
        <v>24247.610862521618</v>
      </c>
      <c r="R19" s="53">
        <f t="shared" si="4"/>
        <v>8303.6090915213354</v>
      </c>
      <c r="S19" s="53">
        <f t="shared" si="5"/>
        <v>32551.219954042954</v>
      </c>
      <c r="T19" s="56">
        <v>8</v>
      </c>
      <c r="V19" s="56">
        <f t="shared" si="6"/>
        <v>8</v>
      </c>
      <c r="W19" s="56">
        <f t="shared" si="7"/>
        <v>9</v>
      </c>
      <c r="X19" s="53">
        <f>IF(V19=0,0,X17-Z19)</f>
        <v>9771.2161821074424</v>
      </c>
      <c r="Y19" s="53">
        <f>IF(V19=0,0,X17*$Y$8)</f>
        <v>652.16508505742036</v>
      </c>
      <c r="Z19" s="53">
        <f t="shared" si="10"/>
        <v>1098.2019021828958</v>
      </c>
      <c r="AA19" s="53">
        <f t="shared" si="11"/>
        <v>1750.3669872403161</v>
      </c>
      <c r="AB19" s="56">
        <v>8</v>
      </c>
    </row>
    <row r="20" spans="2:28" ht="21" customHeight="1">
      <c r="B20" s="78"/>
      <c r="C20" s="35" t="s">
        <v>52</v>
      </c>
      <c r="D20" s="35"/>
      <c r="E20" s="1">
        <v>26</v>
      </c>
      <c r="F20" s="14">
        <f>ROUND(E20/200,10)</f>
        <v>0.13</v>
      </c>
      <c r="G20" s="13"/>
      <c r="H20" s="34"/>
      <c r="J20" s="47" t="s">
        <v>26</v>
      </c>
      <c r="K20" s="58">
        <f>F19*F20*10</f>
        <v>195000</v>
      </c>
      <c r="N20" s="56">
        <f t="shared" si="0"/>
        <v>9</v>
      </c>
      <c r="O20" s="56">
        <f t="shared" si="1"/>
        <v>10</v>
      </c>
      <c r="P20" s="53">
        <f t="shared" si="2"/>
        <v>467929.8186128136</v>
      </c>
      <c r="Q20" s="53">
        <f t="shared" si="3"/>
        <v>23832.430407945551</v>
      </c>
      <c r="R20" s="53">
        <f t="shared" si="4"/>
        <v>8718.7895460974032</v>
      </c>
      <c r="S20" s="53">
        <f t="shared" si="5"/>
        <v>32551.219954042954</v>
      </c>
      <c r="T20" s="56">
        <v>9</v>
      </c>
      <c r="V20" s="56">
        <f t="shared" si="6"/>
        <v>9</v>
      </c>
      <c r="W20" s="56">
        <f t="shared" si="7"/>
        <v>10</v>
      </c>
      <c r="X20" s="53">
        <f t="shared" si="8"/>
        <v>8607.122165793573</v>
      </c>
      <c r="Y20" s="53">
        <f t="shared" si="9"/>
        <v>586.27297092644653</v>
      </c>
      <c r="Z20" s="53">
        <f t="shared" si="10"/>
        <v>1164.0940163138696</v>
      </c>
      <c r="AA20" s="53">
        <f t="shared" si="11"/>
        <v>1750.3669872403161</v>
      </c>
      <c r="AB20" s="56">
        <v>9</v>
      </c>
    </row>
    <row r="21" spans="2:28" ht="21" customHeight="1">
      <c r="B21" s="78"/>
      <c r="C21" s="36" t="s">
        <v>39</v>
      </c>
      <c r="D21" s="36"/>
      <c r="E21" s="36"/>
      <c r="F21" s="15">
        <f>MAX(ROUND(F19*F20,-3),0)</f>
        <v>20000</v>
      </c>
      <c r="G21" s="16"/>
      <c r="H21" s="39"/>
      <c r="J21" s="47" t="s">
        <v>27</v>
      </c>
      <c r="K21" s="58">
        <f>K18+K20</f>
        <v>478658.24551003729</v>
      </c>
      <c r="N21" s="56">
        <f t="shared" si="0"/>
        <v>10</v>
      </c>
      <c r="O21" s="56">
        <f t="shared" si="1"/>
        <v>11</v>
      </c>
      <c r="P21" s="53">
        <f>IF(N21=0,0,P20-R21)</f>
        <v>458775.08958941133</v>
      </c>
      <c r="Q21" s="53">
        <f>IF(N21=0,0,P20*$Q$8)</f>
        <v>23396.490930640681</v>
      </c>
      <c r="R21" s="53">
        <f t="shared" si="4"/>
        <v>9154.729023402273</v>
      </c>
      <c r="S21" s="53">
        <f t="shared" si="5"/>
        <v>32551.219954042954</v>
      </c>
      <c r="T21" s="56">
        <v>10</v>
      </c>
      <c r="V21" s="56">
        <f t="shared" si="6"/>
        <v>10</v>
      </c>
      <c r="W21" s="56">
        <f t="shared" si="7"/>
        <v>11</v>
      </c>
      <c r="X21" s="53">
        <f>IF(V21=0,0,X20-Z21)</f>
        <v>7373.1825085008713</v>
      </c>
      <c r="Y21" s="53">
        <f>IF(V21=0,0,X20*$Y$8)</f>
        <v>516.42732994761445</v>
      </c>
      <c r="Z21" s="53">
        <f t="shared" si="10"/>
        <v>1233.9396572927017</v>
      </c>
      <c r="AA21" s="53">
        <f t="shared" si="11"/>
        <v>1750.3669872403161</v>
      </c>
      <c r="AB21" s="56">
        <v>10</v>
      </c>
    </row>
    <row r="22" spans="2:28" ht="10.5" customHeight="1">
      <c r="B22" s="38"/>
      <c r="C22" s="39"/>
      <c r="D22" s="39"/>
      <c r="E22" s="39"/>
      <c r="F22" s="17"/>
      <c r="G22" s="18"/>
      <c r="H22" s="39"/>
      <c r="N22" s="56">
        <f t="shared" si="0"/>
        <v>11</v>
      </c>
      <c r="O22" s="56">
        <f t="shared" si="1"/>
        <v>12</v>
      </c>
      <c r="P22" s="53">
        <f t="shared" si="2"/>
        <v>449162.62411483895</v>
      </c>
      <c r="Q22" s="53">
        <f t="shared" si="3"/>
        <v>22938.754479470568</v>
      </c>
      <c r="R22" s="53">
        <f t="shared" si="4"/>
        <v>9612.4654745723856</v>
      </c>
      <c r="S22" s="53">
        <f t="shared" si="5"/>
        <v>32551.219954042954</v>
      </c>
      <c r="T22" s="56">
        <v>11</v>
      </c>
      <c r="V22" s="56">
        <f t="shared" si="6"/>
        <v>11</v>
      </c>
      <c r="W22" s="56">
        <f t="shared" si="7"/>
        <v>12</v>
      </c>
      <c r="X22" s="53">
        <f t="shared" si="8"/>
        <v>6065.2064717706071</v>
      </c>
      <c r="Y22" s="53">
        <f t="shared" si="9"/>
        <v>442.39095051005233</v>
      </c>
      <c r="Z22" s="53">
        <f t="shared" si="10"/>
        <v>1307.9760367302638</v>
      </c>
      <c r="AA22" s="53">
        <f t="shared" si="11"/>
        <v>1750.3669872403161</v>
      </c>
      <c r="AB22" s="56">
        <v>11</v>
      </c>
    </row>
    <row r="23" spans="2:28" ht="21" customHeight="1">
      <c r="B23" s="78" t="s">
        <v>7</v>
      </c>
      <c r="C23" s="35" t="s">
        <v>47</v>
      </c>
      <c r="D23" s="35"/>
      <c r="E23" s="1">
        <v>50</v>
      </c>
      <c r="F23" s="19">
        <f>ROUND(E23/1000,100)</f>
        <v>0.05</v>
      </c>
      <c r="G23" s="19"/>
      <c r="H23" s="39"/>
      <c r="J23" s="47" t="s">
        <v>22</v>
      </c>
      <c r="K23" s="62">
        <f>K21/K10</f>
        <v>0.73227600018500372</v>
      </c>
      <c r="N23" s="56">
        <f t="shared" si="0"/>
        <v>12</v>
      </c>
      <c r="O23" s="56">
        <f t="shared" si="1"/>
        <v>13</v>
      </c>
      <c r="P23" s="53">
        <f t="shared" si="2"/>
        <v>439069.53536653792</v>
      </c>
      <c r="Q23" s="53">
        <f t="shared" si="3"/>
        <v>22458.131205741949</v>
      </c>
      <c r="R23" s="53">
        <f t="shared" si="4"/>
        <v>10093.088748301005</v>
      </c>
      <c r="S23" s="53">
        <f t="shared" si="5"/>
        <v>32551.219954042954</v>
      </c>
      <c r="T23" s="56">
        <v>12</v>
      </c>
      <c r="V23" s="56">
        <f t="shared" si="6"/>
        <v>12</v>
      </c>
      <c r="W23" s="56">
        <f t="shared" si="7"/>
        <v>13</v>
      </c>
      <c r="X23" s="53">
        <f t="shared" si="8"/>
        <v>4678.7518728365276</v>
      </c>
      <c r="Y23" s="53">
        <f t="shared" si="9"/>
        <v>363.91238830623644</v>
      </c>
      <c r="Z23" s="53">
        <f t="shared" si="10"/>
        <v>1386.4545989340797</v>
      </c>
      <c r="AA23" s="53">
        <f t="shared" si="11"/>
        <v>1750.3669872403161</v>
      </c>
      <c r="AB23" s="56">
        <v>12</v>
      </c>
    </row>
    <row r="24" spans="2:28" ht="21" customHeight="1">
      <c r="B24" s="78"/>
      <c r="C24" s="35" t="s">
        <v>40</v>
      </c>
      <c r="D24" s="35"/>
      <c r="E24" s="1">
        <v>69</v>
      </c>
      <c r="F24" s="20">
        <f>MAX(ROUND(E24/2,0),1)</f>
        <v>35</v>
      </c>
      <c r="G24" s="21" t="s">
        <v>5</v>
      </c>
      <c r="H24" s="39"/>
      <c r="J24" s="63">
        <f>F13/44</f>
        <v>12500</v>
      </c>
      <c r="N24" s="56">
        <f t="shared" si="0"/>
        <v>13</v>
      </c>
      <c r="O24" s="56">
        <f t="shared" si="1"/>
        <v>14</v>
      </c>
      <c r="P24" s="53">
        <f t="shared" si="2"/>
        <v>428471.79218082188</v>
      </c>
      <c r="Q24" s="53">
        <f t="shared" si="3"/>
        <v>21953.476768326898</v>
      </c>
      <c r="R24" s="53">
        <f t="shared" si="4"/>
        <v>10597.743185716055</v>
      </c>
      <c r="S24" s="53">
        <f t="shared" si="5"/>
        <v>32551.219954042954</v>
      </c>
      <c r="T24" s="56">
        <v>13</v>
      </c>
      <c r="V24" s="56">
        <f t="shared" si="6"/>
        <v>13</v>
      </c>
      <c r="W24" s="56">
        <f t="shared" si="7"/>
        <v>14</v>
      </c>
      <c r="X24" s="53">
        <f t="shared" si="8"/>
        <v>3209.1099979664032</v>
      </c>
      <c r="Y24" s="53">
        <f t="shared" si="9"/>
        <v>280.72511237019165</v>
      </c>
      <c r="Z24" s="53">
        <f t="shared" si="10"/>
        <v>1469.6418748701244</v>
      </c>
      <c r="AA24" s="53">
        <f t="shared" si="11"/>
        <v>1750.3669872403161</v>
      </c>
      <c r="AB24" s="56">
        <v>13</v>
      </c>
    </row>
    <row r="25" spans="2:28" ht="21" customHeight="1">
      <c r="B25" s="78"/>
      <c r="C25" s="35" t="s">
        <v>41</v>
      </c>
      <c r="D25" s="35"/>
      <c r="E25" s="1">
        <v>152</v>
      </c>
      <c r="F25" s="20">
        <f>MAX(ROUND(E25/10,0),1)</f>
        <v>15</v>
      </c>
      <c r="G25" s="21" t="s">
        <v>5</v>
      </c>
      <c r="H25" s="39"/>
      <c r="N25" s="56">
        <f t="shared" si="0"/>
        <v>14</v>
      </c>
      <c r="O25" s="56">
        <f t="shared" si="1"/>
        <v>15</v>
      </c>
      <c r="P25" s="53">
        <f t="shared" si="2"/>
        <v>417344.16183582001</v>
      </c>
      <c r="Q25" s="53">
        <f t="shared" si="3"/>
        <v>21423.589609041097</v>
      </c>
      <c r="R25" s="53">
        <f t="shared" si="4"/>
        <v>11127.630345001857</v>
      </c>
      <c r="S25" s="53">
        <f t="shared" si="5"/>
        <v>32551.219954042954</v>
      </c>
      <c r="T25" s="56">
        <v>14</v>
      </c>
      <c r="V25" s="56">
        <f t="shared" si="6"/>
        <v>14</v>
      </c>
      <c r="W25" s="56">
        <f t="shared" si="7"/>
        <v>15</v>
      </c>
      <c r="X25" s="53">
        <f t="shared" si="8"/>
        <v>1651.2896106040712</v>
      </c>
      <c r="Y25" s="53">
        <f t="shared" si="9"/>
        <v>192.54659987798419</v>
      </c>
      <c r="Z25" s="53">
        <f t="shared" si="10"/>
        <v>1557.820387362332</v>
      </c>
      <c r="AA25" s="53">
        <f t="shared" si="11"/>
        <v>1750.3669872403161</v>
      </c>
      <c r="AB25" s="56">
        <v>14</v>
      </c>
    </row>
    <row r="26" spans="2:28" ht="21" customHeight="1">
      <c r="B26" s="78"/>
      <c r="C26" s="35" t="s">
        <v>42</v>
      </c>
      <c r="D26" s="35"/>
      <c r="E26" s="1">
        <v>101</v>
      </c>
      <c r="F26" s="19">
        <f>ROUND(E26/10000,1000)</f>
        <v>1.01E-2</v>
      </c>
      <c r="G26" s="19"/>
      <c r="H26" s="39"/>
      <c r="J26" s="63">
        <f>F9*0.01</f>
        <v>5000</v>
      </c>
      <c r="N26" s="56">
        <f t="shared" si="0"/>
        <v>15</v>
      </c>
      <c r="O26" s="56">
        <f t="shared" si="1"/>
        <v>16</v>
      </c>
      <c r="P26" s="53">
        <f t="shared" si="2"/>
        <v>405660.14997356804</v>
      </c>
      <c r="Q26" s="53">
        <f t="shared" si="3"/>
        <v>20867.208091791003</v>
      </c>
      <c r="R26" s="53">
        <f t="shared" si="4"/>
        <v>11684.011862251951</v>
      </c>
      <c r="S26" s="53">
        <f t="shared" si="5"/>
        <v>32551.219954042954</v>
      </c>
      <c r="T26" s="56">
        <v>15</v>
      </c>
      <c r="V26" s="56">
        <f t="shared" si="6"/>
        <v>15</v>
      </c>
      <c r="W26" s="56">
        <f t="shared" si="7"/>
        <v>16</v>
      </c>
      <c r="X26" s="53">
        <f t="shared" si="8"/>
        <v>-6.8212102632969618E-13</v>
      </c>
      <c r="Y26" s="53">
        <f t="shared" si="9"/>
        <v>99.077376636244281</v>
      </c>
      <c r="Z26" s="53">
        <f t="shared" si="10"/>
        <v>1651.2896106040719</v>
      </c>
      <c r="AA26" s="53">
        <f t="shared" si="11"/>
        <v>1750.3669872403161</v>
      </c>
      <c r="AB26" s="56">
        <v>15</v>
      </c>
    </row>
    <row r="27" spans="2:28" ht="21" customHeight="1">
      <c r="B27" s="78"/>
      <c r="C27" s="36" t="s">
        <v>43</v>
      </c>
      <c r="D27" s="36"/>
      <c r="E27" s="36"/>
      <c r="F27" s="15">
        <f>ROUND(S8+AA8+(F9*F26),-3)</f>
        <v>39000</v>
      </c>
      <c r="G27" s="16"/>
      <c r="H27" s="39"/>
      <c r="K27" s="47">
        <f>0.98^10</f>
        <v>0.81707280688754658</v>
      </c>
      <c r="N27" s="56">
        <f t="shared" si="0"/>
        <v>16</v>
      </c>
      <c r="O27" s="56">
        <f t="shared" si="1"/>
        <v>17</v>
      </c>
      <c r="P27" s="53">
        <f t="shared" si="2"/>
        <v>393391.93751820351</v>
      </c>
      <c r="Q27" s="53">
        <f t="shared" si="3"/>
        <v>20283.007498678402</v>
      </c>
      <c r="R27" s="53">
        <f t="shared" si="4"/>
        <v>12268.212455364552</v>
      </c>
      <c r="S27" s="53">
        <f t="shared" si="5"/>
        <v>32551.219954042954</v>
      </c>
      <c r="T27" s="56">
        <v>16</v>
      </c>
      <c r="V27" s="56">
        <f t="shared" si="6"/>
        <v>0</v>
      </c>
      <c r="W27" s="56">
        <f t="shared" si="7"/>
        <v>0</v>
      </c>
      <c r="X27" s="53">
        <f t="shared" si="8"/>
        <v>0</v>
      </c>
      <c r="Y27" s="53">
        <f t="shared" si="9"/>
        <v>0</v>
      </c>
      <c r="Z27" s="53">
        <f t="shared" si="10"/>
        <v>0</v>
      </c>
      <c r="AA27" s="53">
        <f t="shared" si="11"/>
        <v>0</v>
      </c>
      <c r="AB27" s="56">
        <v>16</v>
      </c>
    </row>
    <row r="28" spans="2:28" ht="60" customHeight="1">
      <c r="C28" s="27"/>
      <c r="D28" s="27"/>
      <c r="E28" s="27"/>
      <c r="F28" s="22"/>
      <c r="G28" s="23"/>
      <c r="H28" s="27"/>
      <c r="N28" s="56">
        <f t="shared" si="0"/>
        <v>17</v>
      </c>
      <c r="O28" s="56">
        <f t="shared" si="1"/>
        <v>18</v>
      </c>
      <c r="P28" s="53">
        <f t="shared" si="2"/>
        <v>380510.31444007077</v>
      </c>
      <c r="Q28" s="53">
        <f t="shared" si="3"/>
        <v>19669.596875910178</v>
      </c>
      <c r="R28" s="53">
        <f t="shared" si="4"/>
        <v>12881.623078132776</v>
      </c>
      <c r="S28" s="53">
        <f t="shared" si="5"/>
        <v>32551.219954042954</v>
      </c>
      <c r="T28" s="56">
        <v>17</v>
      </c>
      <c r="V28" s="56">
        <f t="shared" si="6"/>
        <v>0</v>
      </c>
      <c r="W28" s="56">
        <f t="shared" si="7"/>
        <v>0</v>
      </c>
      <c r="X28" s="53">
        <f t="shared" si="8"/>
        <v>0</v>
      </c>
      <c r="Y28" s="53">
        <f t="shared" si="9"/>
        <v>0</v>
      </c>
      <c r="Z28" s="53">
        <f t="shared" si="10"/>
        <v>0</v>
      </c>
      <c r="AA28" s="53">
        <f t="shared" si="11"/>
        <v>0</v>
      </c>
      <c r="AB28" s="56">
        <v>17</v>
      </c>
    </row>
    <row r="29" spans="2:28" ht="21" customHeight="1">
      <c r="B29" s="85" t="s">
        <v>49</v>
      </c>
      <c r="C29" s="85"/>
      <c r="D29" s="25"/>
      <c r="E29" s="25"/>
      <c r="F29" s="86"/>
      <c r="G29" s="86"/>
      <c r="H29" s="27"/>
      <c r="N29" s="56">
        <f t="shared" si="0"/>
        <v>18</v>
      </c>
      <c r="O29" s="56">
        <f t="shared" si="1"/>
        <v>19</v>
      </c>
      <c r="P29" s="53">
        <f t="shared" si="2"/>
        <v>366984.61020803137</v>
      </c>
      <c r="Q29" s="53">
        <f t="shared" si="3"/>
        <v>19025.51572200354</v>
      </c>
      <c r="R29" s="53">
        <f t="shared" si="4"/>
        <v>13525.704232039414</v>
      </c>
      <c r="S29" s="53">
        <f t="shared" si="5"/>
        <v>32551.219954042954</v>
      </c>
      <c r="T29" s="56">
        <v>18</v>
      </c>
      <c r="V29" s="56">
        <f t="shared" si="6"/>
        <v>0</v>
      </c>
      <c r="W29" s="56">
        <f t="shared" si="7"/>
        <v>0</v>
      </c>
      <c r="X29" s="53">
        <f t="shared" si="8"/>
        <v>0</v>
      </c>
      <c r="Y29" s="53">
        <f t="shared" si="9"/>
        <v>0</v>
      </c>
      <c r="Z29" s="53">
        <f t="shared" si="10"/>
        <v>0</v>
      </c>
      <c r="AA29" s="53">
        <f t="shared" si="11"/>
        <v>0</v>
      </c>
      <c r="AB29" s="56">
        <v>18</v>
      </c>
    </row>
    <row r="30" spans="2:28" ht="10.5" customHeight="1">
      <c r="C30" s="27"/>
      <c r="D30" s="27"/>
      <c r="E30" s="27"/>
      <c r="F30" s="22"/>
      <c r="G30" s="23"/>
      <c r="H30" s="27"/>
      <c r="N30" s="56">
        <f t="shared" si="0"/>
        <v>19</v>
      </c>
      <c r="O30" s="56">
        <f t="shared" si="1"/>
        <v>20</v>
      </c>
      <c r="P30" s="53">
        <f t="shared" si="2"/>
        <v>352782.62076438998</v>
      </c>
      <c r="Q30" s="53">
        <f t="shared" si="3"/>
        <v>18349.230510401569</v>
      </c>
      <c r="R30" s="53">
        <f t="shared" si="4"/>
        <v>14201.989443641385</v>
      </c>
      <c r="S30" s="53">
        <f t="shared" si="5"/>
        <v>32551.219954042954</v>
      </c>
      <c r="T30" s="56">
        <v>19</v>
      </c>
      <c r="V30" s="56">
        <f t="shared" si="6"/>
        <v>0</v>
      </c>
      <c r="W30" s="56">
        <f t="shared" si="7"/>
        <v>0</v>
      </c>
      <c r="X30" s="53">
        <f t="shared" si="8"/>
        <v>0</v>
      </c>
      <c r="Y30" s="53">
        <f t="shared" si="9"/>
        <v>0</v>
      </c>
      <c r="Z30" s="53">
        <f t="shared" si="10"/>
        <v>0</v>
      </c>
      <c r="AA30" s="53">
        <f t="shared" si="11"/>
        <v>0</v>
      </c>
      <c r="AB30" s="56">
        <v>19</v>
      </c>
    </row>
    <row r="31" spans="2:28" ht="21" customHeight="1">
      <c r="B31" s="73" t="s">
        <v>4</v>
      </c>
      <c r="C31" s="24" t="s">
        <v>53</v>
      </c>
      <c r="D31" s="24" t="s">
        <v>44</v>
      </c>
      <c r="E31" s="24"/>
      <c r="F31" s="67">
        <f>ROUND(MAX(F13-(F18*0.9),1)/F21,0)</f>
        <v>19</v>
      </c>
      <c r="G31" s="24" t="s">
        <v>5</v>
      </c>
      <c r="H31" s="27">
        <f>IF(F31&gt;30,3,IF(F31&gt;19,2,1))</f>
        <v>1</v>
      </c>
      <c r="N31" s="56">
        <f t="shared" si="0"/>
        <v>20</v>
      </c>
      <c r="O31" s="56">
        <f t="shared" si="1"/>
        <v>21</v>
      </c>
      <c r="P31" s="53">
        <f t="shared" si="2"/>
        <v>337870.53184856655</v>
      </c>
      <c r="Q31" s="53">
        <f t="shared" si="3"/>
        <v>17639.131038219501</v>
      </c>
      <c r="R31" s="53">
        <f t="shared" si="4"/>
        <v>14912.088915823453</v>
      </c>
      <c r="S31" s="53">
        <f t="shared" si="5"/>
        <v>32551.219954042954</v>
      </c>
      <c r="T31" s="56">
        <v>20</v>
      </c>
      <c r="V31" s="56">
        <f t="shared" si="6"/>
        <v>0</v>
      </c>
      <c r="W31" s="56">
        <f t="shared" si="7"/>
        <v>0</v>
      </c>
      <c r="X31" s="53">
        <f t="shared" si="8"/>
        <v>0</v>
      </c>
      <c r="Y31" s="53">
        <f t="shared" si="9"/>
        <v>0</v>
      </c>
      <c r="Z31" s="53">
        <f t="shared" si="10"/>
        <v>0</v>
      </c>
      <c r="AA31" s="53">
        <f t="shared" si="11"/>
        <v>0</v>
      </c>
      <c r="AB31" s="56">
        <v>20</v>
      </c>
    </row>
    <row r="32" spans="2:28" ht="21" customHeight="1">
      <c r="B32" s="73"/>
      <c r="C32" s="24" t="s">
        <v>54</v>
      </c>
      <c r="D32" s="24" t="s">
        <v>60</v>
      </c>
      <c r="E32" s="24"/>
      <c r="F32" s="67">
        <f>IFERROR(ROUND(((F26*F9+S8+AA8)/F19)*100,0),0)</f>
        <v>26</v>
      </c>
      <c r="G32" s="24" t="s">
        <v>8</v>
      </c>
      <c r="H32" s="27">
        <f>IF(F32&gt;30,3,IF(F32&gt;19,2,1))</f>
        <v>2</v>
      </c>
      <c r="N32" s="56">
        <f t="shared" si="0"/>
        <v>21</v>
      </c>
      <c r="O32" s="56">
        <f t="shared" si="1"/>
        <v>22</v>
      </c>
      <c r="P32" s="53">
        <f>IF(N32=0,0,P31-R32)</f>
        <v>322212.83848695189</v>
      </c>
      <c r="Q32" s="53">
        <f>IF(N32=0,0,P31*$Q$8)</f>
        <v>16893.526592428327</v>
      </c>
      <c r="R32" s="53">
        <f t="shared" si="4"/>
        <v>15657.693361614627</v>
      </c>
      <c r="S32" s="53">
        <f t="shared" si="5"/>
        <v>32551.219954042954</v>
      </c>
      <c r="T32" s="56">
        <v>21</v>
      </c>
      <c r="V32" s="56">
        <f t="shared" si="6"/>
        <v>0</v>
      </c>
      <c r="W32" s="56">
        <f t="shared" si="7"/>
        <v>0</v>
      </c>
      <c r="X32" s="53">
        <f>IF(V32=0,0,X31-Z32)</f>
        <v>0</v>
      </c>
      <c r="Y32" s="53">
        <f>IF(V32=0,0,X31*$Y$8)</f>
        <v>0</v>
      </c>
      <c r="Z32" s="53">
        <f t="shared" si="10"/>
        <v>0</v>
      </c>
      <c r="AA32" s="53">
        <f t="shared" si="11"/>
        <v>0</v>
      </c>
      <c r="AB32" s="56">
        <v>21</v>
      </c>
    </row>
    <row r="33" spans="2:28" ht="21" customHeight="1">
      <c r="B33" s="73"/>
      <c r="C33" s="24" t="s">
        <v>55</v>
      </c>
      <c r="D33" s="24" t="s">
        <v>57</v>
      </c>
      <c r="E33" s="24"/>
      <c r="F33" s="68">
        <f>IFERROR(ROUND(K19*100,0),0)</f>
        <v>43</v>
      </c>
      <c r="G33" s="24" t="s">
        <v>8</v>
      </c>
      <c r="H33" s="27">
        <f>IF(F33&gt;50,3,IF(F33&gt;29,2,1))</f>
        <v>2</v>
      </c>
      <c r="K33" s="64"/>
      <c r="N33" s="56">
        <f t="shared" si="0"/>
        <v>22</v>
      </c>
      <c r="O33" s="56">
        <f t="shared" si="1"/>
        <v>23</v>
      </c>
      <c r="P33" s="53">
        <f t="shared" si="2"/>
        <v>305772.26045725652</v>
      </c>
      <c r="Q33" s="53">
        <f t="shared" si="3"/>
        <v>16110.641924347596</v>
      </c>
      <c r="R33" s="53">
        <f t="shared" si="4"/>
        <v>16440.57802969536</v>
      </c>
      <c r="S33" s="53">
        <f t="shared" si="5"/>
        <v>32551.219954042954</v>
      </c>
      <c r="T33" s="56">
        <v>22</v>
      </c>
      <c r="V33" s="56">
        <f t="shared" si="6"/>
        <v>0</v>
      </c>
      <c r="W33" s="56">
        <f t="shared" si="7"/>
        <v>0</v>
      </c>
      <c r="X33" s="53">
        <f t="shared" si="8"/>
        <v>0</v>
      </c>
      <c r="Y33" s="53">
        <f t="shared" si="9"/>
        <v>0</v>
      </c>
      <c r="Z33" s="53">
        <f t="shared" si="10"/>
        <v>0</v>
      </c>
      <c r="AA33" s="53">
        <f t="shared" si="11"/>
        <v>0</v>
      </c>
      <c r="AB33" s="56">
        <v>22</v>
      </c>
    </row>
    <row r="34" spans="2:28" ht="10.5" customHeight="1">
      <c r="C34" s="28"/>
      <c r="D34" s="28"/>
      <c r="E34" s="28"/>
      <c r="F34" s="29"/>
      <c r="G34" s="30"/>
      <c r="H34" s="27"/>
      <c r="K34" s="58"/>
      <c r="N34" s="56">
        <f t="shared" si="0"/>
        <v>23</v>
      </c>
      <c r="O34" s="56">
        <f t="shared" si="1"/>
        <v>24</v>
      </c>
      <c r="P34" s="53">
        <f t="shared" si="2"/>
        <v>288509.65352607641</v>
      </c>
      <c r="Q34" s="53">
        <f t="shared" si="3"/>
        <v>15288.613022862826</v>
      </c>
      <c r="R34" s="53">
        <f t="shared" si="4"/>
        <v>17262.606931180126</v>
      </c>
      <c r="S34" s="53">
        <f t="shared" si="5"/>
        <v>32551.219954042954</v>
      </c>
      <c r="T34" s="56">
        <v>23</v>
      </c>
      <c r="V34" s="56">
        <f t="shared" si="6"/>
        <v>0</v>
      </c>
      <c r="W34" s="56">
        <f t="shared" si="7"/>
        <v>0</v>
      </c>
      <c r="X34" s="53">
        <f t="shared" si="8"/>
        <v>0</v>
      </c>
      <c r="Y34" s="53">
        <f t="shared" si="9"/>
        <v>0</v>
      </c>
      <c r="Z34" s="53">
        <f t="shared" si="10"/>
        <v>0</v>
      </c>
      <c r="AA34" s="53">
        <f t="shared" si="11"/>
        <v>0</v>
      </c>
      <c r="AB34" s="56">
        <v>23</v>
      </c>
    </row>
    <row r="35" spans="2:28" ht="17.25" customHeight="1">
      <c r="B35" s="73" t="s">
        <v>6</v>
      </c>
      <c r="C35" s="31" t="str">
        <f>"Du brauchst insgesamt " &amp; F31 &amp; " Jahre, um mit Deinen Ersparnissen Deine Hypothek ganz zurückzahlen zu können."</f>
        <v>Du brauchst insgesamt 19 Jahre, um mit Deinen Ersparnissen Deine Hypothek ganz zurückzahlen zu können.</v>
      </c>
      <c r="D35" s="32"/>
      <c r="E35" s="32"/>
      <c r="F35" s="32"/>
      <c r="G35" s="32"/>
      <c r="H35" s="27"/>
      <c r="N35" s="56">
        <f t="shared" si="0"/>
        <v>24</v>
      </c>
      <c r="O35" s="56">
        <f t="shared" si="1"/>
        <v>25</v>
      </c>
      <c r="P35" s="53">
        <f t="shared" si="2"/>
        <v>270383.91624833725</v>
      </c>
      <c r="Q35" s="53">
        <f t="shared" si="3"/>
        <v>14425.482676303822</v>
      </c>
      <c r="R35" s="53">
        <f t="shared" si="4"/>
        <v>18125.737277739132</v>
      </c>
      <c r="S35" s="53">
        <f t="shared" si="5"/>
        <v>32551.219954042954</v>
      </c>
      <c r="T35" s="56">
        <v>24</v>
      </c>
      <c r="V35" s="56">
        <f t="shared" si="6"/>
        <v>0</v>
      </c>
      <c r="W35" s="56">
        <f t="shared" si="7"/>
        <v>0</v>
      </c>
      <c r="X35" s="53">
        <f t="shared" si="8"/>
        <v>0</v>
      </c>
      <c r="Y35" s="53">
        <f t="shared" si="9"/>
        <v>0</v>
      </c>
      <c r="Z35" s="53">
        <f t="shared" si="10"/>
        <v>0</v>
      </c>
      <c r="AA35" s="53">
        <f t="shared" si="11"/>
        <v>0</v>
      </c>
      <c r="AB35" s="56">
        <v>24</v>
      </c>
    </row>
    <row r="36" spans="2:28" ht="17.25" customHeight="1">
      <c r="B36" s="73"/>
      <c r="C36" s="74" t="str">
        <f>VLOOKUP(H31,B39:C41,2,FALSE)</f>
        <v>Dein Eigenheim gehört schon in den nächsten 20 Jahren ganz Dir.  Du erfüllst den AF-Test #1 mit Bravur!</v>
      </c>
      <c r="D36" s="74"/>
      <c r="E36" s="74"/>
      <c r="F36" s="74"/>
      <c r="G36" s="74"/>
      <c r="H36" s="27"/>
      <c r="N36" s="56">
        <f t="shared" si="0"/>
        <v>25</v>
      </c>
      <c r="O36" s="56">
        <f t="shared" si="1"/>
        <v>26</v>
      </c>
      <c r="P36" s="53">
        <f t="shared" si="2"/>
        <v>251351.89210671117</v>
      </c>
      <c r="Q36" s="53">
        <f t="shared" si="3"/>
        <v>13519.195812416863</v>
      </c>
      <c r="R36" s="53">
        <f t="shared" si="4"/>
        <v>19032.024141626091</v>
      </c>
      <c r="S36" s="53">
        <f t="shared" si="5"/>
        <v>32551.219954042954</v>
      </c>
      <c r="T36" s="56">
        <v>25</v>
      </c>
      <c r="V36" s="56">
        <f t="shared" si="6"/>
        <v>0</v>
      </c>
      <c r="W36" s="56">
        <f t="shared" si="7"/>
        <v>0</v>
      </c>
      <c r="X36" s="53">
        <f t="shared" si="8"/>
        <v>0</v>
      </c>
      <c r="Y36" s="53">
        <f t="shared" si="9"/>
        <v>0</v>
      </c>
      <c r="Z36" s="53">
        <f t="shared" si="10"/>
        <v>0</v>
      </c>
      <c r="AA36" s="53">
        <f t="shared" si="11"/>
        <v>0</v>
      </c>
      <c r="AB36" s="56">
        <v>25</v>
      </c>
    </row>
    <row r="37" spans="2:28" ht="37.5" customHeight="1">
      <c r="B37" s="73"/>
      <c r="C37" s="74"/>
      <c r="D37" s="74"/>
      <c r="E37" s="74"/>
      <c r="F37" s="74"/>
      <c r="G37" s="74"/>
      <c r="H37" s="27"/>
      <c r="K37" s="64"/>
      <c r="N37" s="56">
        <f t="shared" si="0"/>
        <v>26</v>
      </c>
      <c r="O37" s="56">
        <f t="shared" si="1"/>
        <v>27</v>
      </c>
      <c r="P37" s="53">
        <f t="shared" si="2"/>
        <v>231368.26675800377</v>
      </c>
      <c r="Q37" s="53">
        <f t="shared" si="3"/>
        <v>12567.594605335558</v>
      </c>
      <c r="R37" s="53">
        <f t="shared" si="4"/>
        <v>19983.625348707395</v>
      </c>
      <c r="S37" s="53">
        <f t="shared" si="5"/>
        <v>32551.219954042954</v>
      </c>
      <c r="T37" s="56">
        <v>26</v>
      </c>
      <c r="V37" s="56">
        <f t="shared" si="6"/>
        <v>0</v>
      </c>
      <c r="W37" s="56">
        <f t="shared" si="7"/>
        <v>0</v>
      </c>
      <c r="X37" s="53">
        <f t="shared" si="8"/>
        <v>0</v>
      </c>
      <c r="Y37" s="53">
        <f t="shared" si="9"/>
        <v>0</v>
      </c>
      <c r="Z37" s="53">
        <f t="shared" si="10"/>
        <v>0</v>
      </c>
      <c r="AA37" s="53">
        <f t="shared" si="11"/>
        <v>0</v>
      </c>
      <c r="AB37" s="56">
        <v>26</v>
      </c>
    </row>
    <row r="38" spans="2:28" ht="10.5" customHeight="1">
      <c r="C38" s="28"/>
      <c r="D38" s="28"/>
      <c r="E38" s="28"/>
      <c r="F38" s="28"/>
      <c r="G38" s="28"/>
      <c r="H38" s="27"/>
      <c r="K38" s="64"/>
      <c r="N38" s="56">
        <f t="shared" si="0"/>
        <v>27</v>
      </c>
      <c r="O38" s="56">
        <f t="shared" si="1"/>
        <v>28</v>
      </c>
      <c r="P38" s="53">
        <f t="shared" si="2"/>
        <v>210385.460141861</v>
      </c>
      <c r="Q38" s="53">
        <f t="shared" si="3"/>
        <v>11568.413337900189</v>
      </c>
      <c r="R38" s="53">
        <f t="shared" si="4"/>
        <v>20982.806616142763</v>
      </c>
      <c r="S38" s="53">
        <f t="shared" si="5"/>
        <v>32551.219954042954</v>
      </c>
      <c r="T38" s="56">
        <v>27</v>
      </c>
      <c r="V38" s="56">
        <f t="shared" si="6"/>
        <v>0</v>
      </c>
      <c r="W38" s="56">
        <f t="shared" si="7"/>
        <v>0</v>
      </c>
      <c r="X38" s="53">
        <f t="shared" si="8"/>
        <v>0</v>
      </c>
      <c r="Y38" s="53">
        <f t="shared" si="9"/>
        <v>0</v>
      </c>
      <c r="Z38" s="53">
        <f t="shared" si="10"/>
        <v>0</v>
      </c>
      <c r="AA38" s="53">
        <f t="shared" si="11"/>
        <v>0</v>
      </c>
      <c r="AB38" s="56">
        <v>27</v>
      </c>
    </row>
    <row r="39" spans="2:28" ht="17.25" hidden="1" customHeight="1">
      <c r="B39" s="26">
        <v>1</v>
      </c>
      <c r="C39" s="33" t="s">
        <v>56</v>
      </c>
      <c r="D39" s="28"/>
      <c r="E39" s="28"/>
      <c r="F39" s="29"/>
      <c r="G39" s="30"/>
      <c r="H39" s="27"/>
      <c r="K39" s="62"/>
      <c r="N39" s="56">
        <f t="shared" si="0"/>
        <v>28</v>
      </c>
      <c r="O39" s="56">
        <f t="shared" si="1"/>
        <v>29</v>
      </c>
      <c r="P39" s="53">
        <f t="shared" si="2"/>
        <v>188353.51319491109</v>
      </c>
      <c r="Q39" s="53">
        <f t="shared" si="3"/>
        <v>10519.27300709305</v>
      </c>
      <c r="R39" s="53">
        <f t="shared" si="4"/>
        <v>22031.946946949902</v>
      </c>
      <c r="S39" s="53">
        <f t="shared" si="5"/>
        <v>32551.219954042954</v>
      </c>
      <c r="T39" s="56">
        <v>28</v>
      </c>
      <c r="V39" s="56">
        <f t="shared" si="6"/>
        <v>0</v>
      </c>
      <c r="W39" s="56">
        <f t="shared" si="7"/>
        <v>0</v>
      </c>
      <c r="X39" s="53">
        <f t="shared" si="8"/>
        <v>0</v>
      </c>
      <c r="Y39" s="53">
        <f t="shared" si="9"/>
        <v>0</v>
      </c>
      <c r="Z39" s="53">
        <f t="shared" si="10"/>
        <v>0</v>
      </c>
      <c r="AA39" s="53">
        <f t="shared" si="11"/>
        <v>0</v>
      </c>
      <c r="AB39" s="56">
        <v>28</v>
      </c>
    </row>
    <row r="40" spans="2:28" ht="17.25" hidden="1" customHeight="1">
      <c r="B40" s="26">
        <v>2</v>
      </c>
      <c r="C40" s="33" t="s">
        <v>61</v>
      </c>
      <c r="D40" s="28"/>
      <c r="E40" s="28"/>
      <c r="F40" s="29"/>
      <c r="G40" s="30"/>
      <c r="H40" s="27"/>
      <c r="N40" s="56">
        <f t="shared" si="0"/>
        <v>29</v>
      </c>
      <c r="O40" s="56">
        <f t="shared" si="1"/>
        <v>30</v>
      </c>
      <c r="P40" s="53">
        <f t="shared" si="2"/>
        <v>165219.96890061369</v>
      </c>
      <c r="Q40" s="53">
        <f t="shared" si="3"/>
        <v>9417.6756597455551</v>
      </c>
      <c r="R40" s="53">
        <f t="shared" si="4"/>
        <v>23133.544294297397</v>
      </c>
      <c r="S40" s="53">
        <f t="shared" si="5"/>
        <v>32551.219954042954</v>
      </c>
      <c r="T40" s="56">
        <v>29</v>
      </c>
      <c r="V40" s="56">
        <f t="shared" si="6"/>
        <v>0</v>
      </c>
      <c r="W40" s="56">
        <f t="shared" si="7"/>
        <v>0</v>
      </c>
      <c r="X40" s="53">
        <f t="shared" si="8"/>
        <v>0</v>
      </c>
      <c r="Y40" s="53">
        <f t="shared" si="9"/>
        <v>0</v>
      </c>
      <c r="Z40" s="53">
        <f t="shared" si="10"/>
        <v>0</v>
      </c>
      <c r="AA40" s="53">
        <f t="shared" si="11"/>
        <v>0</v>
      </c>
      <c r="AB40" s="56">
        <v>29</v>
      </c>
    </row>
    <row r="41" spans="2:28" ht="17.25" hidden="1" customHeight="1">
      <c r="B41" s="26">
        <v>3</v>
      </c>
      <c r="C41" s="33" t="s">
        <v>65</v>
      </c>
      <c r="D41" s="28"/>
      <c r="E41" s="28"/>
      <c r="F41" s="29"/>
      <c r="G41" s="30"/>
      <c r="H41" s="27"/>
      <c r="N41" s="56">
        <f t="shared" si="0"/>
        <v>30</v>
      </c>
      <c r="O41" s="56">
        <f t="shared" si="1"/>
        <v>31</v>
      </c>
      <c r="P41" s="53">
        <f t="shared" si="2"/>
        <v>140929.74739160141</v>
      </c>
      <c r="Q41" s="53">
        <f t="shared" si="3"/>
        <v>8260.9984450306856</v>
      </c>
      <c r="R41" s="53">
        <f t="shared" si="4"/>
        <v>24290.22150901227</v>
      </c>
      <c r="S41" s="53">
        <f t="shared" si="5"/>
        <v>32551.219954042954</v>
      </c>
      <c r="T41" s="56">
        <v>30</v>
      </c>
      <c r="V41" s="56">
        <f t="shared" si="6"/>
        <v>0</v>
      </c>
      <c r="W41" s="56">
        <f t="shared" si="7"/>
        <v>0</v>
      </c>
      <c r="X41" s="53">
        <f t="shared" si="8"/>
        <v>0</v>
      </c>
      <c r="Y41" s="53">
        <f t="shared" si="9"/>
        <v>0</v>
      </c>
      <c r="Z41" s="53">
        <f t="shared" si="10"/>
        <v>0</v>
      </c>
      <c r="AA41" s="53">
        <f t="shared" si="11"/>
        <v>0</v>
      </c>
      <c r="AB41" s="56">
        <v>30</v>
      </c>
    </row>
    <row r="42" spans="2:28" ht="17.25" hidden="1" customHeight="1">
      <c r="C42" s="28"/>
      <c r="D42" s="28"/>
      <c r="E42" s="28"/>
      <c r="F42" s="29"/>
      <c r="G42" s="30"/>
      <c r="H42" s="27"/>
      <c r="N42" s="56">
        <f t="shared" si="0"/>
        <v>31</v>
      </c>
      <c r="O42" s="56">
        <f t="shared" si="1"/>
        <v>32</v>
      </c>
      <c r="P42" s="53">
        <f t="shared" si="2"/>
        <v>115425.01480713853</v>
      </c>
      <c r="Q42" s="53">
        <f t="shared" si="3"/>
        <v>7046.4873695800707</v>
      </c>
      <c r="R42" s="53">
        <f t="shared" si="4"/>
        <v>25504.732584462883</v>
      </c>
      <c r="S42" s="53">
        <f t="shared" si="5"/>
        <v>32551.219954042954</v>
      </c>
      <c r="T42" s="56">
        <v>31</v>
      </c>
      <c r="V42" s="56">
        <f t="shared" si="6"/>
        <v>0</v>
      </c>
      <c r="W42" s="56">
        <f t="shared" si="7"/>
        <v>0</v>
      </c>
      <c r="X42" s="53">
        <f t="shared" si="8"/>
        <v>0</v>
      </c>
      <c r="Y42" s="53">
        <f t="shared" si="9"/>
        <v>0</v>
      </c>
      <c r="Z42" s="53">
        <f t="shared" si="10"/>
        <v>0</v>
      </c>
      <c r="AA42" s="53">
        <f t="shared" si="11"/>
        <v>0</v>
      </c>
      <c r="AB42" s="56">
        <v>31</v>
      </c>
    </row>
    <row r="43" spans="2:28" ht="17.25" customHeight="1">
      <c r="B43" s="73" t="s">
        <v>17</v>
      </c>
      <c r="C43" s="31" t="str">
        <f>"Du gibst insgesamt " &amp; F32 &amp; "% Deines sicheren Haushaltseinkommens für das Wohnen aus."</f>
        <v>Du gibst insgesamt 26% Deines sicheren Haushaltseinkommens für das Wohnen aus.</v>
      </c>
      <c r="D43" s="32"/>
      <c r="E43" s="32"/>
      <c r="F43" s="32"/>
      <c r="G43" s="32"/>
      <c r="H43" s="27"/>
      <c r="N43" s="56">
        <f t="shared" si="0"/>
        <v>32</v>
      </c>
      <c r="O43" s="56">
        <f t="shared" si="1"/>
        <v>33</v>
      </c>
      <c r="P43" s="53">
        <f t="shared" si="2"/>
        <v>88645.045593452509</v>
      </c>
      <c r="Q43" s="53">
        <f t="shared" si="3"/>
        <v>5771.2507403569271</v>
      </c>
      <c r="R43" s="53">
        <f t="shared" si="4"/>
        <v>26779.969213686025</v>
      </c>
      <c r="S43" s="53">
        <f t="shared" si="5"/>
        <v>32551.219954042954</v>
      </c>
      <c r="T43" s="56">
        <v>32</v>
      </c>
      <c r="V43" s="56">
        <f t="shared" si="6"/>
        <v>0</v>
      </c>
      <c r="W43" s="56">
        <f t="shared" si="7"/>
        <v>0</v>
      </c>
      <c r="X43" s="53">
        <f t="shared" si="8"/>
        <v>0</v>
      </c>
      <c r="Y43" s="53">
        <f t="shared" si="9"/>
        <v>0</v>
      </c>
      <c r="Z43" s="53">
        <f t="shared" si="10"/>
        <v>0</v>
      </c>
      <c r="AA43" s="53">
        <f t="shared" si="11"/>
        <v>0</v>
      </c>
      <c r="AB43" s="56">
        <v>32</v>
      </c>
    </row>
    <row r="44" spans="2:28" ht="17.25" customHeight="1">
      <c r="B44" s="73"/>
      <c r="C44" s="74" t="str">
        <f>VLOOKUP(H32,B47:C49,2,FALSE)</f>
        <v>Du gibst weniger als 30% Deines sicheren Haushaltseinkommens für Deine Wohnungssituation aus und bestehst den AF-Test #2. Achte aber weiterhin auf die bestehenden Risiken! (Bspw. Verringerung des Haushaltseinkommens, Erhöhung beim Unterhalt und bei den Nebenkosten, Anstieg der Zinskosten, etc.)</v>
      </c>
      <c r="D44" s="74"/>
      <c r="E44" s="74"/>
      <c r="F44" s="74"/>
      <c r="G44" s="74"/>
      <c r="H44" s="27"/>
      <c r="N44" s="56">
        <f t="shared" si="0"/>
        <v>33</v>
      </c>
      <c r="O44" s="56">
        <f t="shared" si="1"/>
        <v>34</v>
      </c>
      <c r="P44" s="53">
        <f t="shared" si="2"/>
        <v>60526.077919082178</v>
      </c>
      <c r="Q44" s="53">
        <f t="shared" si="3"/>
        <v>4432.2522796726253</v>
      </c>
      <c r="R44" s="53">
        <f t="shared" si="4"/>
        <v>28118.967674370328</v>
      </c>
      <c r="S44" s="53">
        <f t="shared" si="5"/>
        <v>32551.219954042954</v>
      </c>
      <c r="T44" s="56">
        <v>33</v>
      </c>
      <c r="V44" s="56">
        <f t="shared" si="6"/>
        <v>0</v>
      </c>
      <c r="W44" s="56">
        <f t="shared" si="7"/>
        <v>0</v>
      </c>
      <c r="X44" s="53">
        <f t="shared" si="8"/>
        <v>0</v>
      </c>
      <c r="Y44" s="53">
        <f t="shared" si="9"/>
        <v>0</v>
      </c>
      <c r="Z44" s="53">
        <f t="shared" si="10"/>
        <v>0</v>
      </c>
      <c r="AA44" s="53">
        <f t="shared" si="11"/>
        <v>0</v>
      </c>
      <c r="AB44" s="56">
        <v>33</v>
      </c>
    </row>
    <row r="45" spans="2:28" ht="37.5" customHeight="1">
      <c r="B45" s="73"/>
      <c r="C45" s="74"/>
      <c r="D45" s="74"/>
      <c r="E45" s="74"/>
      <c r="F45" s="74"/>
      <c r="G45" s="74"/>
      <c r="H45" s="27"/>
      <c r="N45" s="56">
        <f t="shared" si="0"/>
        <v>34</v>
      </c>
      <c r="O45" s="56">
        <f t="shared" si="1"/>
        <v>35</v>
      </c>
      <c r="P45" s="53">
        <f t="shared" si="2"/>
        <v>31001.161860993332</v>
      </c>
      <c r="Q45" s="53">
        <f t="shared" si="3"/>
        <v>3026.3038959541091</v>
      </c>
      <c r="R45" s="53">
        <f t="shared" si="4"/>
        <v>29524.916058088846</v>
      </c>
      <c r="S45" s="53">
        <f t="shared" si="5"/>
        <v>32551.219954042954</v>
      </c>
      <c r="T45" s="56">
        <v>34</v>
      </c>
      <c r="V45" s="56">
        <f t="shared" si="6"/>
        <v>0</v>
      </c>
      <c r="W45" s="56">
        <f t="shared" si="7"/>
        <v>0</v>
      </c>
      <c r="X45" s="53">
        <f t="shared" si="8"/>
        <v>0</v>
      </c>
      <c r="Y45" s="53">
        <f t="shared" si="9"/>
        <v>0</v>
      </c>
      <c r="Z45" s="53">
        <f t="shared" si="10"/>
        <v>0</v>
      </c>
      <c r="AA45" s="53">
        <f t="shared" si="11"/>
        <v>0</v>
      </c>
      <c r="AB45" s="56">
        <v>34</v>
      </c>
    </row>
    <row r="46" spans="2:28" ht="10.5" customHeight="1">
      <c r="C46" s="28"/>
      <c r="D46" s="28"/>
      <c r="E46" s="28"/>
      <c r="F46" s="29"/>
      <c r="G46" s="30"/>
      <c r="H46" s="27"/>
      <c r="N46" s="56">
        <f t="shared" si="0"/>
        <v>35</v>
      </c>
      <c r="O46" s="56">
        <f t="shared" si="1"/>
        <v>36</v>
      </c>
      <c r="P46" s="53">
        <f t="shared" si="2"/>
        <v>4.3655745685100555E-11</v>
      </c>
      <c r="Q46" s="53">
        <f t="shared" si="3"/>
        <v>1550.0580930496667</v>
      </c>
      <c r="R46" s="53">
        <f t="shared" si="4"/>
        <v>31001.161860993288</v>
      </c>
      <c r="S46" s="53">
        <f t="shared" si="5"/>
        <v>32551.219954042954</v>
      </c>
      <c r="T46" s="56">
        <v>35</v>
      </c>
      <c r="V46" s="56">
        <f t="shared" si="6"/>
        <v>0</v>
      </c>
      <c r="W46" s="56">
        <f t="shared" si="7"/>
        <v>0</v>
      </c>
      <c r="X46" s="53">
        <f t="shared" si="8"/>
        <v>0</v>
      </c>
      <c r="Y46" s="53">
        <f t="shared" si="9"/>
        <v>0</v>
      </c>
      <c r="Z46" s="53">
        <f t="shared" si="10"/>
        <v>0</v>
      </c>
      <c r="AA46" s="53">
        <f t="shared" si="11"/>
        <v>0</v>
      </c>
      <c r="AB46" s="56">
        <v>35</v>
      </c>
    </row>
    <row r="47" spans="2:28" ht="17.25" hidden="1" customHeight="1">
      <c r="B47" s="26">
        <v>1</v>
      </c>
      <c r="C47" s="33" t="s">
        <v>58</v>
      </c>
      <c r="D47" s="28"/>
      <c r="E47" s="28"/>
      <c r="F47" s="29"/>
      <c r="G47" s="30"/>
      <c r="H47" s="27"/>
      <c r="N47" s="56">
        <f t="shared" si="0"/>
        <v>0</v>
      </c>
      <c r="O47" s="56">
        <f t="shared" si="1"/>
        <v>0</v>
      </c>
      <c r="P47" s="53">
        <f t="shared" si="2"/>
        <v>0</v>
      </c>
      <c r="Q47" s="53">
        <f t="shared" si="3"/>
        <v>0</v>
      </c>
      <c r="R47" s="53">
        <f t="shared" si="4"/>
        <v>0</v>
      </c>
      <c r="S47" s="53">
        <f t="shared" si="5"/>
        <v>0</v>
      </c>
      <c r="T47" s="56">
        <v>36</v>
      </c>
      <c r="V47" s="56">
        <f t="shared" si="6"/>
        <v>0</v>
      </c>
      <c r="W47" s="56">
        <f t="shared" si="7"/>
        <v>0</v>
      </c>
      <c r="X47" s="53">
        <f t="shared" si="8"/>
        <v>0</v>
      </c>
      <c r="Y47" s="53">
        <f t="shared" si="9"/>
        <v>0</v>
      </c>
      <c r="Z47" s="53">
        <f t="shared" si="10"/>
        <v>0</v>
      </c>
      <c r="AA47" s="53">
        <f t="shared" si="11"/>
        <v>0</v>
      </c>
      <c r="AB47" s="56">
        <v>36</v>
      </c>
    </row>
    <row r="48" spans="2:28" ht="17.25" hidden="1" customHeight="1">
      <c r="B48" s="26">
        <v>2</v>
      </c>
      <c r="C48" s="33" t="s">
        <v>62</v>
      </c>
      <c r="D48" s="28"/>
      <c r="E48" s="28"/>
      <c r="F48" s="29"/>
      <c r="G48" s="30"/>
      <c r="H48" s="27"/>
      <c r="N48" s="56">
        <f t="shared" si="0"/>
        <v>0</v>
      </c>
      <c r="O48" s="56">
        <f t="shared" si="1"/>
        <v>0</v>
      </c>
      <c r="P48" s="53">
        <f t="shared" si="2"/>
        <v>0</v>
      </c>
      <c r="Q48" s="53">
        <f t="shared" si="3"/>
        <v>0</v>
      </c>
      <c r="R48" s="53">
        <f t="shared" si="4"/>
        <v>0</v>
      </c>
      <c r="S48" s="53">
        <f t="shared" si="5"/>
        <v>0</v>
      </c>
      <c r="T48" s="56">
        <v>37</v>
      </c>
      <c r="V48" s="56">
        <f t="shared" si="6"/>
        <v>0</v>
      </c>
      <c r="W48" s="56">
        <f t="shared" si="7"/>
        <v>0</v>
      </c>
      <c r="X48" s="53">
        <f t="shared" si="8"/>
        <v>0</v>
      </c>
      <c r="Y48" s="53">
        <f t="shared" si="9"/>
        <v>0</v>
      </c>
      <c r="Z48" s="53">
        <f t="shared" si="10"/>
        <v>0</v>
      </c>
      <c r="AA48" s="53">
        <f t="shared" si="11"/>
        <v>0</v>
      </c>
      <c r="AB48" s="56">
        <v>37</v>
      </c>
    </row>
    <row r="49" spans="2:28" ht="17.25" hidden="1" customHeight="1">
      <c r="B49" s="26">
        <v>3</v>
      </c>
      <c r="C49" s="33" t="s">
        <v>66</v>
      </c>
      <c r="D49" s="28"/>
      <c r="E49" s="28"/>
      <c r="F49" s="29"/>
      <c r="G49" s="30"/>
      <c r="H49" s="27"/>
      <c r="N49" s="56">
        <f t="shared" si="0"/>
        <v>0</v>
      </c>
      <c r="O49" s="56">
        <f t="shared" si="1"/>
        <v>0</v>
      </c>
      <c r="P49" s="53">
        <f t="shared" si="2"/>
        <v>0</v>
      </c>
      <c r="Q49" s="53">
        <f t="shared" si="3"/>
        <v>0</v>
      </c>
      <c r="R49" s="53">
        <f t="shared" si="4"/>
        <v>0</v>
      </c>
      <c r="S49" s="53">
        <f t="shared" si="5"/>
        <v>0</v>
      </c>
      <c r="T49" s="56">
        <v>38</v>
      </c>
      <c r="V49" s="56">
        <f t="shared" si="6"/>
        <v>0</v>
      </c>
      <c r="W49" s="56">
        <f t="shared" si="7"/>
        <v>0</v>
      </c>
      <c r="X49" s="53">
        <f t="shared" si="8"/>
        <v>0</v>
      </c>
      <c r="Y49" s="53">
        <f t="shared" si="9"/>
        <v>0</v>
      </c>
      <c r="Z49" s="53">
        <f t="shared" si="10"/>
        <v>0</v>
      </c>
      <c r="AA49" s="53">
        <f t="shared" si="11"/>
        <v>0</v>
      </c>
      <c r="AB49" s="56">
        <v>38</v>
      </c>
    </row>
    <row r="50" spans="2:28" ht="17.25" hidden="1" customHeight="1">
      <c r="C50" s="28"/>
      <c r="D50" s="28"/>
      <c r="E50" s="28"/>
      <c r="F50" s="29"/>
      <c r="G50" s="30"/>
      <c r="H50" s="27"/>
      <c r="N50" s="56">
        <f t="shared" si="0"/>
        <v>0</v>
      </c>
      <c r="O50" s="56">
        <f t="shared" si="1"/>
        <v>0</v>
      </c>
      <c r="P50" s="53">
        <f t="shared" si="2"/>
        <v>0</v>
      </c>
      <c r="Q50" s="53">
        <f t="shared" si="3"/>
        <v>0</v>
      </c>
      <c r="R50" s="53">
        <f t="shared" si="4"/>
        <v>0</v>
      </c>
      <c r="S50" s="53">
        <f t="shared" si="5"/>
        <v>0</v>
      </c>
      <c r="T50" s="56">
        <v>39</v>
      </c>
      <c r="V50" s="56">
        <f t="shared" si="6"/>
        <v>0</v>
      </c>
      <c r="W50" s="56">
        <f t="shared" si="7"/>
        <v>0</v>
      </c>
      <c r="X50" s="53">
        <f t="shared" si="8"/>
        <v>0</v>
      </c>
      <c r="Y50" s="53">
        <f t="shared" si="9"/>
        <v>0</v>
      </c>
      <c r="Z50" s="53">
        <f t="shared" si="10"/>
        <v>0</v>
      </c>
      <c r="AA50" s="53">
        <f t="shared" si="11"/>
        <v>0</v>
      </c>
      <c r="AB50" s="56">
        <v>39</v>
      </c>
    </row>
    <row r="51" spans="2:28" ht="17.25" customHeight="1">
      <c r="B51" s="73" t="s">
        <v>28</v>
      </c>
      <c r="C51" s="31" t="str">
        <f>"Du verfügst im Falle eines Negativszenarios über " &amp; F33 &amp; "% Eigenkapital, um einer Nachschusspflicht nachzukommen."</f>
        <v>Du verfügst im Falle eines Negativszenarios über 43% Eigenkapital, um einer Nachschusspflicht nachzukommen.</v>
      </c>
      <c r="D51" s="32"/>
      <c r="E51" s="32"/>
      <c r="F51" s="32"/>
      <c r="G51" s="32"/>
      <c r="H51" s="28"/>
      <c r="N51" s="56">
        <f t="shared" si="0"/>
        <v>0</v>
      </c>
      <c r="O51" s="56">
        <f t="shared" si="1"/>
        <v>0</v>
      </c>
      <c r="P51" s="53">
        <f t="shared" si="2"/>
        <v>0</v>
      </c>
      <c r="Q51" s="53">
        <f t="shared" si="3"/>
        <v>0</v>
      </c>
      <c r="R51" s="53">
        <f t="shared" si="4"/>
        <v>0</v>
      </c>
      <c r="S51" s="53">
        <f t="shared" si="5"/>
        <v>0</v>
      </c>
      <c r="T51" s="56">
        <v>40</v>
      </c>
      <c r="V51" s="56">
        <f t="shared" si="6"/>
        <v>0</v>
      </c>
      <c r="W51" s="56">
        <f t="shared" si="7"/>
        <v>0</v>
      </c>
      <c r="X51" s="53">
        <f t="shared" si="8"/>
        <v>0</v>
      </c>
      <c r="Y51" s="53">
        <f t="shared" si="9"/>
        <v>0</v>
      </c>
      <c r="Z51" s="53">
        <f t="shared" si="10"/>
        <v>0</v>
      </c>
      <c r="AA51" s="53">
        <f t="shared" si="11"/>
        <v>0</v>
      </c>
      <c r="AB51" s="56">
        <v>40</v>
      </c>
    </row>
    <row r="52" spans="2:28" ht="17.25" customHeight="1">
      <c r="B52" s="73"/>
      <c r="C52" s="74" t="str">
        <f>VLOOKUP(H33,B55:C57,2,FALSE)</f>
        <v>Du besitzt über 30% Eigenkapital (nach einem Negativszenario wie Deflation oder Immobilienpreiszerfall), um einer Nachschusspflicht nachzukommen. Das reicht zwar zum Bestehen des AF-Tests #3, dennoch ergeben sich gewisse Risiken. Behalte Deine Situation deshalb stets im Auge! (Bspw. Stabilität beim ungebundenen Vermögen, Erhalt des Liegenschaftswerts, etc.)</v>
      </c>
      <c r="D52" s="74"/>
      <c r="E52" s="74"/>
      <c r="F52" s="74"/>
      <c r="G52" s="74"/>
      <c r="N52" s="65" t="s">
        <v>15</v>
      </c>
      <c r="O52" s="65"/>
      <c r="P52" s="66"/>
      <c r="Q52" s="66">
        <f>SUM(Q10:Q51)</f>
        <v>606292.69839150354</v>
      </c>
      <c r="R52" s="66">
        <f>SUM(R10:R51)</f>
        <v>532999.99999999988</v>
      </c>
      <c r="S52" s="66">
        <f>SUM(S10:S51)</f>
        <v>1139292.6983915027</v>
      </c>
      <c r="T52" s="66"/>
      <c r="V52" s="65" t="s">
        <v>15</v>
      </c>
      <c r="W52" s="65"/>
      <c r="X52" s="66"/>
      <c r="Y52" s="66">
        <f>SUM(Y10:Y51)</f>
        <v>9255.5048086047409</v>
      </c>
      <c r="Z52" s="66">
        <f>SUM(Z10:Z51)</f>
        <v>17000</v>
      </c>
      <c r="AA52" s="66">
        <f>SUM(AA10:AA51)</f>
        <v>26255.504808604732</v>
      </c>
      <c r="AB52" s="66"/>
    </row>
    <row r="53" spans="2:28" ht="37.5" customHeight="1">
      <c r="B53" s="73"/>
      <c r="C53" s="74"/>
      <c r="D53" s="74"/>
      <c r="E53" s="74"/>
      <c r="F53" s="74"/>
      <c r="G53" s="74"/>
    </row>
    <row r="54" spans="2:28" ht="17.25" hidden="1" customHeight="1">
      <c r="C54" s="28"/>
      <c r="D54" s="28"/>
      <c r="E54" s="28"/>
      <c r="F54" s="29"/>
      <c r="G54" s="30"/>
    </row>
    <row r="55" spans="2:28" ht="17.25" hidden="1" customHeight="1">
      <c r="B55" s="26">
        <v>1</v>
      </c>
      <c r="C55" s="33" t="s">
        <v>59</v>
      </c>
      <c r="D55" s="28"/>
      <c r="E55" s="28"/>
      <c r="F55" s="29"/>
      <c r="G55" s="30"/>
    </row>
    <row r="56" spans="2:28" ht="17.25" hidden="1" customHeight="1">
      <c r="B56" s="26">
        <v>2</v>
      </c>
      <c r="C56" s="33" t="s">
        <v>64</v>
      </c>
      <c r="D56" s="28"/>
      <c r="E56" s="28"/>
      <c r="F56" s="29"/>
      <c r="G56" s="30"/>
    </row>
    <row r="57" spans="2:28" ht="17.25" hidden="1" customHeight="1">
      <c r="B57" s="26">
        <v>3</v>
      </c>
      <c r="C57" s="33" t="s">
        <v>63</v>
      </c>
      <c r="D57" s="28"/>
      <c r="E57" s="28"/>
      <c r="F57" s="29"/>
      <c r="G57" s="30"/>
    </row>
    <row r="58" spans="2:28" ht="60" customHeight="1">
      <c r="B58" s="30"/>
      <c r="C58" s="30"/>
      <c r="D58" s="30"/>
      <c r="E58" s="30"/>
      <c r="F58" s="30"/>
      <c r="G58" s="30"/>
    </row>
    <row r="59" spans="2:28" ht="21" customHeight="1">
      <c r="B59" s="79" t="s">
        <v>50</v>
      </c>
      <c r="C59" s="79"/>
      <c r="D59" s="46"/>
      <c r="E59" s="46"/>
      <c r="F59" s="80"/>
      <c r="G59" s="80"/>
    </row>
    <row r="60" spans="2:28" ht="10.5" customHeight="1">
      <c r="C60" s="33"/>
      <c r="D60" s="28"/>
      <c r="E60" s="28"/>
      <c r="F60" s="29"/>
      <c r="G60" s="30"/>
    </row>
    <row r="61" spans="2:28" ht="62.25" customHeight="1">
      <c r="B61" s="81" t="s">
        <v>32</v>
      </c>
      <c r="C61" s="82" t="s">
        <v>33</v>
      </c>
      <c r="D61" s="82"/>
      <c r="E61" s="82"/>
      <c r="F61" s="82"/>
      <c r="G61" s="82"/>
    </row>
    <row r="62" spans="2:28" ht="66.75" customHeight="1">
      <c r="B62" s="81"/>
      <c r="C62" s="82"/>
      <c r="D62" s="82"/>
      <c r="E62" s="82"/>
      <c r="F62" s="82"/>
      <c r="G62" s="82"/>
    </row>
    <row r="63" spans="2:28" ht="158" customHeight="1">
      <c r="B63" s="81"/>
      <c r="C63" s="82"/>
      <c r="D63" s="82"/>
      <c r="E63" s="82"/>
      <c r="F63" s="82"/>
      <c r="G63" s="82"/>
    </row>
    <row r="64" spans="2:28" ht="199" customHeight="1">
      <c r="B64" s="30"/>
      <c r="C64" s="30"/>
      <c r="D64" s="30"/>
      <c r="E64" s="30"/>
      <c r="F64" s="30"/>
      <c r="G64" s="30"/>
    </row>
    <row r="65" spans="2:28" ht="15.75" customHeight="1">
      <c r="B65" s="77" t="s">
        <v>45</v>
      </c>
      <c r="C65" s="77"/>
      <c r="D65" s="76">
        <f ca="1">TODAY()</f>
        <v>42047</v>
      </c>
      <c r="E65" s="76"/>
      <c r="F65" s="76"/>
      <c r="G65" s="76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2:28" ht="8" customHeight="1">
      <c r="B66" s="69"/>
      <c r="C66" s="70"/>
      <c r="D66" s="70"/>
      <c r="E66" s="70"/>
      <c r="F66" s="70"/>
      <c r="G66" s="70"/>
    </row>
    <row r="67" spans="2:28" ht="15.75" customHeight="1">
      <c r="B67" s="30"/>
    </row>
    <row r="68" spans="2:28" ht="15.75" customHeight="1">
      <c r="B68" s="30"/>
    </row>
    <row r="69" spans="2:28" ht="15.75" customHeight="1">
      <c r="B69" s="30"/>
    </row>
    <row r="70" spans="2:28" ht="15.75" customHeight="1">
      <c r="B70" s="30"/>
    </row>
    <row r="71" spans="2:28" ht="15.75" customHeight="1">
      <c r="B71" s="30"/>
    </row>
  </sheetData>
  <sheetProtection password="CDB5" sheet="1" objects="1" scenarios="1" selectLockedCells="1"/>
  <mergeCells count="24">
    <mergeCell ref="N6:T6"/>
    <mergeCell ref="V6:AB6"/>
    <mergeCell ref="B31:B33"/>
    <mergeCell ref="B6:C6"/>
    <mergeCell ref="B18:B21"/>
    <mergeCell ref="B29:C29"/>
    <mergeCell ref="F29:G29"/>
    <mergeCell ref="B23:B27"/>
    <mergeCell ref="B2:D3"/>
    <mergeCell ref="B51:B53"/>
    <mergeCell ref="C52:G53"/>
    <mergeCell ref="F6:G6"/>
    <mergeCell ref="D65:G65"/>
    <mergeCell ref="B65:C65"/>
    <mergeCell ref="B12:B16"/>
    <mergeCell ref="B8:B10"/>
    <mergeCell ref="B43:B45"/>
    <mergeCell ref="C44:G45"/>
    <mergeCell ref="B35:B37"/>
    <mergeCell ref="C36:G37"/>
    <mergeCell ref="B59:C59"/>
    <mergeCell ref="F59:G59"/>
    <mergeCell ref="B61:B63"/>
    <mergeCell ref="C61:G63"/>
  </mergeCells>
  <phoneticPr fontId="2" type="noConversion"/>
  <conditionalFormatting sqref="F31">
    <cfRule type="cellIs" dxfId="8" priority="3" operator="lessThan">
      <formula>20</formula>
    </cfRule>
    <cfRule type="cellIs" dxfId="7" priority="11" operator="greaterThan">
      <formula>30</formula>
    </cfRule>
    <cfRule type="cellIs" dxfId="6" priority="15" operator="greaterThan">
      <formula>30</formula>
    </cfRule>
  </conditionalFormatting>
  <conditionalFormatting sqref="F32">
    <cfRule type="cellIs" dxfId="5" priority="2" operator="lessThan">
      <formula>20</formula>
    </cfRule>
    <cfRule type="cellIs" dxfId="4" priority="10" operator="greaterThan">
      <formula>30</formula>
    </cfRule>
    <cfRule type="cellIs" dxfId="3" priority="14" operator="greaterThan">
      <formula>30</formula>
    </cfRule>
  </conditionalFormatting>
  <conditionalFormatting sqref="F33">
    <cfRule type="cellIs" dxfId="2" priority="1" operator="greaterThan">
      <formula>50</formula>
    </cfRule>
    <cfRule type="cellIs" dxfId="1" priority="5" stopIfTrue="1" operator="lessThan">
      <formula>30</formula>
    </cfRule>
  </conditionalFormatting>
  <conditionalFormatting sqref="G12">
    <cfRule type="cellIs" dxfId="0" priority="4" operator="lessThan">
      <formula>0.2</formula>
    </cfRule>
  </conditionalFormatting>
  <printOptions horizontalCentered="1"/>
  <pageMargins left="3.1496062992125988E-3" right="0.1931496062992126" top="0.59" bottom="0.59" header="0.51" footer="0.51"/>
  <pageSetup paperSize="9" scale="48" orientation="portrait" horizontalDpi="1200" verticalDpi="1200"/>
  <headerFooter alignWithMargins="0"/>
  <ignoredErrors>
    <ignoredError sqref="G9 F22:G25 F28:G30 F26:G27 K10:K15 G33 G32 K19:K23 K16:K17 C36 N35:S35 V35:AA35 N36:S36 V36:AA36 N37:S37 V37:AA37 N38:S38 V38:AA38 N39:S39 V39:AA39 N40:S40 V40:AA40 N41:S41 V41:AA41 N42:S42 V42:AA42 C44 N43:S43 V43:AA43 N44:S44 V44:AA44 N45:S45 V45:AA45 N46:S46 V46:AA46 N47:S47 V47:AA47 N48:S48 V48:AA48 N49:S49 V49:AA49 N50:S50 V50:AA50 C52 N51:S51 V51:AA51 Q52:S52 Y52:AA52 N8 P8:Q8 S8 V8 X8:Y8 AA8 L10 N10:P10 V10:X10 N11:S11 V11:AA11 N12:S12 V12:AA12 N13:S13 V13:AA13 N14:S14 V14:AA14 N15:S15 V15:AA15 N16:S16 V16:AA16 N17:S17 V17:AA17 N19:S19 V19:AA19 N20:S20 V20:AA20 N21:S21 V21:AA21 N22:S22 V22:AA22 N23:S23 V23:AA23 J24 N24:S24 V24:AA24 N25:S25 V25:AA25 J26 N26:S26 V26:AA26 K27 N27:S27 V27:AA27 N28:S28 V28:AA28 N29:S29 V29:AA29 N30:S30 V30:AA30 N31:S31 V31:AA31 N32:S32 V32:AA32 N33:S33 V33:AA33 N34:S34 V34:AA34 F17:G17 G31 F11:G11 G10 F13 F15 F16 F20:G20 G18 G19 G21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2" r:id="rId3" name="Scroll Bar 22">
              <controlPr locked="0" defaultSize="0" autoPict="0">
                <anchor moveWithCells="1">
                  <from>
                    <xdr:col>3</xdr:col>
                    <xdr:colOff>101600</xdr:colOff>
                    <xdr:row>7</xdr:row>
                    <xdr:rowOff>38100</xdr:rowOff>
                  </from>
                  <to>
                    <xdr:col>4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45" r:id="rId4" name="Scroll Bar 25">
              <controlPr locked="0" defaultSize="0" autoPict="0">
                <anchor moveWithCells="1">
                  <from>
                    <xdr:col>3</xdr:col>
                    <xdr:colOff>101600</xdr:colOff>
                    <xdr:row>8</xdr:row>
                    <xdr:rowOff>12700</xdr:rowOff>
                  </from>
                  <to>
                    <xdr:col>4</xdr:col>
                    <xdr:colOff>0</xdr:colOff>
                    <xdr:row>8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46" r:id="rId5" name="Scroll Bar 26">
              <controlPr locked="0" defaultSize="0" autoPict="0">
                <anchor moveWithCells="1">
                  <from>
                    <xdr:col>3</xdr:col>
                    <xdr:colOff>101600</xdr:colOff>
                    <xdr:row>11</xdr:row>
                    <xdr:rowOff>38100</xdr:rowOff>
                  </from>
                  <to>
                    <xdr:col>4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47" r:id="rId6" name="Scroll Bar 27">
              <controlPr locked="0" defaultSize="0" autoPict="0">
                <anchor moveWithCells="1">
                  <from>
                    <xdr:col>3</xdr:col>
                    <xdr:colOff>101600</xdr:colOff>
                    <xdr:row>18</xdr:row>
                    <xdr:rowOff>38100</xdr:rowOff>
                  </from>
                  <to>
                    <xdr:col>4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48" r:id="rId7" name="Scroll Bar 28">
              <controlPr locked="0" defaultSize="0" autoPict="0">
                <anchor moveWithCells="1">
                  <from>
                    <xdr:col>3</xdr:col>
                    <xdr:colOff>101600</xdr:colOff>
                    <xdr:row>19</xdr:row>
                    <xdr:rowOff>25400</xdr:rowOff>
                  </from>
                  <to>
                    <xdr:col>4</xdr:col>
                    <xdr:colOff>0</xdr:colOff>
                    <xdr:row>19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63" r:id="rId8" name="Scroll Bar 43">
              <controlPr locked="0" defaultSize="0" autoPict="0">
                <anchor moveWithCells="1">
                  <from>
                    <xdr:col>3</xdr:col>
                    <xdr:colOff>101600</xdr:colOff>
                    <xdr:row>22</xdr:row>
                    <xdr:rowOff>25400</xdr:rowOff>
                  </from>
                  <to>
                    <xdr:col>4</xdr:col>
                    <xdr:colOff>0</xdr:colOff>
                    <xdr:row>22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64" r:id="rId9" name="Scroll Bar 44">
              <controlPr locked="0" defaultSize="0" autoPict="0">
                <anchor moveWithCells="1">
                  <from>
                    <xdr:col>3</xdr:col>
                    <xdr:colOff>101600</xdr:colOff>
                    <xdr:row>23</xdr:row>
                    <xdr:rowOff>25400</xdr:rowOff>
                  </from>
                  <to>
                    <xdr:col>4</xdr:col>
                    <xdr:colOff>0</xdr:colOff>
                    <xdr:row>23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65" r:id="rId10" name="Scroll Bar 45">
              <controlPr locked="0" defaultSize="0" autoPict="0">
                <anchor moveWithCells="1">
                  <from>
                    <xdr:col>3</xdr:col>
                    <xdr:colOff>101600</xdr:colOff>
                    <xdr:row>24</xdr:row>
                    <xdr:rowOff>25400</xdr:rowOff>
                  </from>
                  <to>
                    <xdr:col>4</xdr:col>
                    <xdr:colOff>0</xdr:colOff>
                    <xdr:row>24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66" r:id="rId11" name="Scroll Bar 46">
              <controlPr locked="0" defaultSize="0" autoPict="0">
                <anchor moveWithCells="1">
                  <from>
                    <xdr:col>3</xdr:col>
                    <xdr:colOff>101600</xdr:colOff>
                    <xdr:row>25</xdr:row>
                    <xdr:rowOff>25400</xdr:rowOff>
                  </from>
                  <to>
                    <xdr:col>4</xdr:col>
                    <xdr:colOff>0</xdr:colOff>
                    <xdr:row>25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84" r:id="rId12" name="Scroll Bar 64">
              <controlPr locked="0" defaultSize="0" autoPict="0">
                <anchor moveWithCells="1">
                  <from>
                    <xdr:col>3</xdr:col>
                    <xdr:colOff>101600</xdr:colOff>
                    <xdr:row>17</xdr:row>
                    <xdr:rowOff>38100</xdr:rowOff>
                  </from>
                  <to>
                    <xdr:col>4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AF Test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Etappe 1: Der Anti-Fragilitäts-Test</dc:title>
  <dc:subject/>
  <dc:creator/>
  <cp:keywords/>
  <dc:description>Das Tool zur 1. Etappe dient als Standortbestimmung Deiner jetzigen Hypothekar-Situation.</dc:description>
  <cp:lastModifiedBy/>
  <cp:lastPrinted>2015-02-03T19:27:34Z</cp:lastPrinted>
  <dcterms:created xsi:type="dcterms:W3CDTF">2004-05-19T05:23:44Z</dcterms:created>
  <dcterms:modified xsi:type="dcterms:W3CDTF">2015-02-12T20:17:01Z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-965295113</vt:i4>
  </property>
  <property fmtid="{D5CDD505-2E9C-101B-9397-08002B2CF9AE}" pid="3" name="_NewReviewCycle">
    <vt:lpwstr/>
  </property>
</Properties>
</file>